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lauren.smart\Documents\Proposals\GIZ\"/>
    </mc:Choice>
  </mc:AlternateContent>
  <bookViews>
    <workbookView xWindow="0" yWindow="0" windowWidth="19200" windowHeight="11790"/>
  </bookViews>
  <sheets>
    <sheet name="Summary" sheetId="1" r:id="rId1"/>
    <sheet name="Natural Capital Indicators" sheetId="2" r:id="rId2"/>
    <sheet name="Internalisation factors" sheetId="4" r:id="rId3"/>
    <sheet name="Data tables" sheetId="7" state="hidden" r:id="rId4"/>
    <sheet name="Cost breakdown - soybean produc" sheetId="8" state="hidden" r:id="rId5"/>
    <sheet name="Financial implications" sheetId="5" r:id="rId6"/>
  </sheets>
  <definedNames>
    <definedName name="_ftn1" localSheetId="0">Summary!$B$9</definedName>
    <definedName name="_ftnref1" localSheetId="0">Summary!$B$6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H7" i="4"/>
  <c r="G8" i="4"/>
  <c r="H8" i="4"/>
  <c r="G9" i="4"/>
  <c r="H9" i="4"/>
  <c r="G10" i="4"/>
  <c r="G11" i="4"/>
  <c r="H11" i="4"/>
  <c r="G12" i="4"/>
  <c r="G13" i="4"/>
  <c r="H13" i="4"/>
  <c r="G14" i="4"/>
  <c r="G15" i="4"/>
  <c r="H15" i="4"/>
  <c r="G16" i="4"/>
  <c r="G17" i="4"/>
  <c r="H17" i="4"/>
  <c r="G18" i="4"/>
  <c r="G19" i="4"/>
  <c r="H19" i="4"/>
  <c r="G20" i="4"/>
  <c r="H15" i="5"/>
  <c r="H16" i="5"/>
  <c r="H13" i="5"/>
  <c r="H12" i="5"/>
  <c r="H10" i="5"/>
  <c r="H9" i="5"/>
  <c r="H7" i="5"/>
  <c r="E20" i="2"/>
  <c r="C16" i="5"/>
  <c r="D19" i="8" l="1"/>
  <c r="D18" i="8"/>
  <c r="D17" i="8"/>
  <c r="D16" i="8"/>
  <c r="D15" i="8"/>
  <c r="D14" i="8"/>
  <c r="D13" i="8"/>
  <c r="D12" i="8"/>
  <c r="D11" i="8"/>
  <c r="D10" i="8"/>
  <c r="D9" i="8"/>
  <c r="D8" i="8"/>
  <c r="D7" i="8"/>
  <c r="D6" i="8"/>
  <c r="D5" i="8"/>
  <c r="D4" i="8"/>
  <c r="D3" i="8"/>
  <c r="D2" i="8"/>
  <c r="G35" i="7"/>
  <c r="G34" i="7"/>
  <c r="H20" i="4" s="1"/>
  <c r="G31" i="7"/>
  <c r="G30" i="7"/>
  <c r="H18" i="4" s="1"/>
  <c r="G27" i="7"/>
  <c r="H16" i="4" s="1"/>
  <c r="G26" i="7"/>
  <c r="G23" i="7"/>
  <c r="G22" i="7"/>
  <c r="H14" i="4" s="1"/>
  <c r="G19" i="7"/>
  <c r="G18" i="7"/>
  <c r="H12" i="4" s="1"/>
  <c r="G15" i="7"/>
  <c r="H10" i="4" s="1"/>
  <c r="G14" i="7"/>
  <c r="G11" i="7"/>
  <c r="G10" i="7"/>
  <c r="G7" i="7"/>
  <c r="G6" i="7"/>
  <c r="H6" i="4" s="1"/>
  <c r="D20" i="4"/>
  <c r="C20" i="4"/>
  <c r="D18" i="4"/>
  <c r="C18" i="4"/>
  <c r="D16" i="4"/>
  <c r="C16" i="4"/>
  <c r="D14" i="4"/>
  <c r="C14" i="4"/>
  <c r="D12" i="4"/>
  <c r="C12" i="4"/>
  <c r="D10" i="4"/>
  <c r="C10" i="4"/>
  <c r="D8" i="4"/>
  <c r="C8" i="4"/>
  <c r="G6" i="4"/>
  <c r="C13" i="5" s="1"/>
  <c r="D6" i="4"/>
  <c r="C6" i="4"/>
  <c r="D5" i="4"/>
  <c r="C5" i="4"/>
  <c r="E13" i="2"/>
  <c r="H8" i="5" s="1"/>
  <c r="E16" i="2" l="1"/>
  <c r="C15" i="5"/>
  <c r="B31" i="5" s="1"/>
  <c r="C9" i="5"/>
  <c r="B27" i="5" s="1"/>
  <c r="C12" i="5"/>
  <c r="C7" i="5"/>
  <c r="B25" i="5" s="1"/>
  <c r="C10" i="5"/>
  <c r="H11" i="5" l="1"/>
  <c r="E19" i="2"/>
  <c r="C8" i="5"/>
  <c r="C11" i="5" s="1"/>
  <c r="C14" i="5" s="1"/>
  <c r="H14" i="5" l="1"/>
  <c r="B33" i="5" s="1"/>
  <c r="E22" i="2"/>
  <c r="C17" i="5"/>
  <c r="C18" i="5" s="1"/>
  <c r="C19" i="5" s="1"/>
  <c r="C21" i="5" s="1"/>
  <c r="H17" i="5" l="1"/>
  <c r="E23" i="2"/>
  <c r="E24" i="2" s="1"/>
  <c r="E26" i="2" s="1"/>
  <c r="B29" i="5"/>
  <c r="H18" i="5" l="1"/>
  <c r="H19" i="5" s="1"/>
  <c r="H21" i="5" s="1"/>
</calcChain>
</file>

<file path=xl/sharedStrings.xml><?xml version="1.0" encoding="utf-8"?>
<sst xmlns="http://schemas.openxmlformats.org/spreadsheetml/2006/main" count="209" uniqueCount="122">
  <si>
    <t>Dec '13</t>
  </si>
  <si>
    <t>Sales</t>
  </si>
  <si>
    <t>Cost of Goods Sold (COGS) incl. D&amp;A</t>
  </si>
  <si>
    <t>COGS excluding D&amp;A</t>
  </si>
  <si>
    <t>Depreciation &amp; Amortization Expense</t>
  </si>
  <si>
    <t>Gross Income</t>
  </si>
  <si>
    <t>SG&amp;A Expense</t>
  </si>
  <si>
    <t>Other Operating Expense</t>
  </si>
  <si>
    <t>EBIT (Operating Income)</t>
  </si>
  <si>
    <t>Interest Expense</t>
  </si>
  <si>
    <t>Fixed Assets Impairment</t>
  </si>
  <si>
    <t>Pretax Income</t>
  </si>
  <si>
    <t>Income Taxes</t>
  </si>
  <si>
    <t>Net Income</t>
  </si>
  <si>
    <t>EPS (recurring)</t>
  </si>
  <si>
    <t>Total Shares Outstanding</t>
  </si>
  <si>
    <t>Income Statement Producer A</t>
  </si>
  <si>
    <t>Income Statement Producer B</t>
  </si>
  <si>
    <t>Total Shares Outstanding (million)</t>
  </si>
  <si>
    <t>In BRL million</t>
  </si>
  <si>
    <t>No additional sales</t>
  </si>
  <si>
    <t>EPS</t>
  </si>
  <si>
    <t>BRL million</t>
  </si>
  <si>
    <t>Annotated Income Statement</t>
  </si>
  <si>
    <t>Producer A</t>
  </si>
  <si>
    <t>Market</t>
  </si>
  <si>
    <t>Reputation</t>
  </si>
  <si>
    <t>Operations</t>
  </si>
  <si>
    <t>Climate</t>
  </si>
  <si>
    <t>Policy/Regulation</t>
  </si>
  <si>
    <t>Customer Loyalty</t>
  </si>
  <si>
    <t>Resource Depletion</t>
  </si>
  <si>
    <t>Subsidies</t>
  </si>
  <si>
    <t>Outcome</t>
  </si>
  <si>
    <t>Financial Implication</t>
  </si>
  <si>
    <t>Data</t>
  </si>
  <si>
    <t>European soy milk importer rejects pitch from US competitor  producer signs three year contract.</t>
  </si>
  <si>
    <t>Lose 10% annual revenue as significant client is lost.</t>
  </si>
  <si>
    <t>Interest payments fall by 1% as risks are reduced.</t>
  </si>
  <si>
    <t>Attains CRS certification</t>
  </si>
  <si>
    <t>Opens access to premium prices across all European and North American markets.</t>
  </si>
  <si>
    <t>Soya sales price rise on average 2% across the board.</t>
  </si>
  <si>
    <t>Attains RTRS certification</t>
  </si>
  <si>
    <t>Strategic performance review: the dominant natural capital risks and opportunities fall within eight categories. 
1) Market
2) Reputation
3) Operations
4) Climate
5) Policy/Regulation
6) Customer Loyalty
7) Resource Depletion
8) Subsidies
The financial implications of each are not limited to one line item, but instead can have varying effects on profitability. The tool attempts to isolate those that are most influencial.</t>
  </si>
  <si>
    <t>Natural Capital Case Study for GIZ</t>
  </si>
  <si>
    <t>Did not pursue CRS certification</t>
  </si>
  <si>
    <t>Did not pursue RTRS certification</t>
  </si>
  <si>
    <t>Loses out on additional sales to developed country clients with resonsible soyabean supply chain initiatives.</t>
  </si>
  <si>
    <t>Rotational programme used</t>
  </si>
  <si>
    <t>No additional operational cost</t>
  </si>
  <si>
    <t>Drought cause reduced yield</t>
  </si>
  <si>
    <t>ISO 9001 practices increase water efficiency and reduce drought's impact</t>
  </si>
  <si>
    <t>Production falls 12%, but prices rise marginally in the market.</t>
  </si>
  <si>
    <t>Sales fall 10%</t>
  </si>
  <si>
    <t>Production falls 3%, but prices remain constant.</t>
  </si>
  <si>
    <t>Sales fall 3%</t>
  </si>
  <si>
    <t>Fertilizer costs grow 40%</t>
  </si>
  <si>
    <t xml:space="preserve">Chisel plow </t>
  </si>
  <si>
    <t>Spray</t>
  </si>
  <si>
    <t>Haul and store</t>
  </si>
  <si>
    <t>Nonfield Labor</t>
  </si>
  <si>
    <t>Crop Inputs</t>
  </si>
  <si>
    <t xml:space="preserve">Management (5% of other costs) </t>
  </si>
  <si>
    <t xml:space="preserve">Apply nitrogen </t>
  </si>
  <si>
    <t>Tandem disk</t>
  </si>
  <si>
    <t>Field cultivate</t>
  </si>
  <si>
    <t>Plant</t>
  </si>
  <si>
    <t>Cultivate</t>
  </si>
  <si>
    <t>Combine</t>
  </si>
  <si>
    <t>Haul to market</t>
  </si>
  <si>
    <t>Seed</t>
  </si>
  <si>
    <t>Fertilizer and lime</t>
  </si>
  <si>
    <t>Herbicide</t>
  </si>
  <si>
    <t>Crop insurance</t>
  </si>
  <si>
    <t>Miscellaneous and interest</t>
  </si>
  <si>
    <t>Storage</t>
  </si>
  <si>
    <t>Machinery and Labor</t>
  </si>
  <si>
    <t>Management</t>
  </si>
  <si>
    <t>Cost</t>
  </si>
  <si>
    <t>Percentage</t>
  </si>
  <si>
    <t>Cost structure for soy production</t>
  </si>
  <si>
    <t>Intensive agricultural practices desertify land and soil fertility declines</t>
  </si>
  <si>
    <t>Farmers apply fertilisers in greater quantity</t>
  </si>
  <si>
    <t>Soybean Producer A Sustainability Strategy</t>
  </si>
  <si>
    <t xml:space="preserve">Plantation found to be encroaching on Amazon rainforest. </t>
  </si>
  <si>
    <t>Financing the company puts banks in breach of Brazilian Central Bank regulations.</t>
  </si>
  <si>
    <t>Fines increase costs by BRL10 million</t>
  </si>
  <si>
    <t>Company audited for its crop locations, which are all in well environmentally managed regions</t>
  </si>
  <si>
    <t>Banks are seeking new soyabeen farming clients and offer reduced rates to attract business.</t>
  </si>
  <si>
    <t>Interest rates fall 0.25%</t>
  </si>
  <si>
    <t xml:space="preserve">Supply shortfall increases average price by 1% </t>
  </si>
  <si>
    <t xml:space="preserve">Recent deforestation picked up by NGO and campaign reaches US press. </t>
  </si>
  <si>
    <t xml:space="preserve">North American customers demand short term contracts with assurances that better land management practices will be implemented. </t>
  </si>
  <si>
    <t>Business risk levels rise and interest rates grow by 1.5%.</t>
  </si>
  <si>
    <t>NGO engagement and collaborative sustainability programmes positions the company amongst global natural capital management leaders.</t>
  </si>
  <si>
    <t>Growing relationships developed with NGOs and downstream sustainable procurement teams. Reputation grows with prospects for new green clients.</t>
  </si>
  <si>
    <t>No additional sales achieved, but strategic relationships promise future income. NGO support enforces client views of the company's sustainable practices.</t>
  </si>
  <si>
    <t>Lose out to competing US bid and fail to renew contract with long standing client.</t>
  </si>
  <si>
    <t>Solar power used to provide electricity to stationary machinery and biodiesel takes advantage of subsidized sugar cane and soyabean derivative fuels.</t>
  </si>
  <si>
    <t>No short term costs or income, but after three years cost savings realised.</t>
  </si>
  <si>
    <t>Diversifies power sources and reduces dependence on generators. The biofuels use also improve local air quality. Short term increase in capital expenditure, but IRR is just three years. Green loans are provided by the bank, with savings in first three years paid as interest.</t>
  </si>
  <si>
    <t>Exposure to oil market prices are muted because of subsidy, but Brazilian governments seek to reduce agricultural dependence on fuel subsidies.</t>
  </si>
  <si>
    <t>No short term changes in costs or income, but after three years cost will increase.</t>
  </si>
  <si>
    <t>Grant covers any losses from non-farmed hectares. Tree cover increases nitrogen and potassium in soil, while also improving soil water content.</t>
  </si>
  <si>
    <t>Yields increase 10%.</t>
  </si>
  <si>
    <t>Continue to buy electricity from the grid and run mobile machinery on diesel oil.</t>
  </si>
  <si>
    <t>Heavy rain washes away soil and nutrients on plantations sited on flood plains.</t>
  </si>
  <si>
    <t>Yields decrease 5%.</t>
  </si>
  <si>
    <t>Government grants accepted by producer to replant forests on arable land.</t>
  </si>
  <si>
    <t>Government grant rejected by producer, who instead plants sugarcane.</t>
  </si>
  <si>
    <t>Interest expense</t>
  </si>
  <si>
    <t>Financial statement impact</t>
  </si>
  <si>
    <t>Comments on the financial implications of sustainable strategies</t>
  </si>
  <si>
    <t>Key takeaways: this tool is intended to provide an interactive and dynamic introduction to integrating natural capital information into the financial analysis of soyabean producers. The framework should allow both credit and equity investors to contextualise their concerns about the environment through financial interpretation of their investment/client's natural capital impact.</t>
  </si>
  <si>
    <t>Review the simplified income statement to understand how natural capital can affect financial performance.</t>
  </si>
  <si>
    <t>By Aaron Re'em</t>
  </si>
  <si>
    <r>
      <rPr>
        <b/>
        <sz val="11"/>
        <color theme="1"/>
        <rFont val="Arial"/>
        <family val="2"/>
      </rPr>
      <t xml:space="preserve">The Objective: </t>
    </r>
    <r>
      <rPr>
        <sz val="11"/>
        <color theme="1"/>
        <rFont val="Arial"/>
        <family val="2"/>
      </rPr>
      <t>A case to study to demonstrate the financial implications of natural capital management and how natural capital data can be integrated into financial models</t>
    </r>
  </si>
  <si>
    <t>Natural Capital Case Study for GIZ Workshop</t>
  </si>
  <si>
    <r>
      <rPr>
        <b/>
        <sz val="11"/>
        <color theme="1"/>
        <rFont val="Arial"/>
        <family val="2"/>
      </rPr>
      <t xml:space="preserve">The Story: </t>
    </r>
    <r>
      <rPr>
        <sz val="11"/>
        <color theme="1"/>
        <rFont val="Arial"/>
        <family val="2"/>
      </rPr>
      <t>Two companies in the soyabean production sector in Brazil, with different strategic approaches to sustainability, are increasingly differentiated because natural capital is impacting their financial performance and stability. You are the CEO of Company A. You are provided with a series of management decisions about natural capital and the tool will quantify the financial implications based on your strategic decisions. Your goal is to outperform Company B in this monetised assessment.</t>
    </r>
  </si>
  <si>
    <t>CASE STUDY 2</t>
  </si>
  <si>
    <t>CHOOSE FROM GREEN DROPDOWNS</t>
  </si>
  <si>
    <t>Select the relevant sustainability strategy decision under each of the eight categories then move to the "financial implications" tab to see the outcome of your decisions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</si>
</sst>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00"/>
  </numFmts>
  <fonts count="18" x14ac:knownFonts="1">
    <font>
      <sz val="11"/>
      <color theme="1"/>
      <name val="Calibri"/>
      <family val="2"/>
      <scheme val="minor"/>
    </font>
    <font>
      <sz val="11"/>
      <color theme="1"/>
      <name val="Calibri"/>
      <family val="2"/>
      <scheme val="minor"/>
    </font>
    <font>
      <sz val="11"/>
      <color theme="1"/>
      <name val="Arial"/>
      <family val="2"/>
    </font>
    <font>
      <b/>
      <u/>
      <sz val="11"/>
      <color theme="1"/>
      <name val="Arial"/>
      <family val="2"/>
    </font>
    <font>
      <b/>
      <sz val="11"/>
      <color theme="1"/>
      <name val="Arial"/>
      <family val="2"/>
    </font>
    <font>
      <i/>
      <sz val="11"/>
      <color theme="1"/>
      <name val="Arial"/>
      <family val="2"/>
    </font>
    <font>
      <b/>
      <sz val="15"/>
      <color theme="1"/>
      <name val="Arial"/>
      <family val="2"/>
    </font>
    <font>
      <b/>
      <sz val="20"/>
      <color theme="1"/>
      <name val="Arial"/>
      <family val="2"/>
    </font>
    <font>
      <sz val="10"/>
      <color theme="1"/>
      <name val="Arial"/>
      <family val="2"/>
    </font>
    <font>
      <i/>
      <sz val="10"/>
      <color theme="1"/>
      <name val="Arial"/>
      <family val="2"/>
    </font>
    <font>
      <b/>
      <sz val="10"/>
      <color theme="1"/>
      <name val="Arial"/>
      <family val="2"/>
    </font>
    <font>
      <b/>
      <sz val="12"/>
      <color theme="1"/>
      <name val="Arial"/>
      <family val="2"/>
    </font>
    <font>
      <b/>
      <sz val="14"/>
      <color theme="1"/>
      <name val="Arial"/>
      <family val="2"/>
    </font>
    <font>
      <sz val="12"/>
      <color theme="1"/>
      <name val="Arial"/>
      <family val="2"/>
    </font>
    <font>
      <b/>
      <sz val="11"/>
      <color rgb="FFC00000"/>
      <name val="Calibri"/>
      <family val="2"/>
      <scheme val="minor"/>
    </font>
    <font>
      <b/>
      <sz val="12"/>
      <color rgb="FFC00000"/>
      <name val="Arial"/>
      <family val="2"/>
    </font>
    <font>
      <sz val="10"/>
      <name val="Arial"/>
      <family val="2"/>
    </font>
    <font>
      <b/>
      <sz val="8"/>
      <color theme="9" tint="-0.249977111117893"/>
      <name val="Arial"/>
      <family val="2"/>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0" borderId="0" xfId="0" applyFont="1"/>
    <xf numFmtId="0" fontId="2" fillId="0" borderId="0" xfId="0" applyFont="1" applyAlignment="1">
      <alignment wrapText="1"/>
    </xf>
    <xf numFmtId="0" fontId="3" fillId="0" borderId="0" xfId="0" applyFont="1"/>
    <xf numFmtId="0" fontId="4" fillId="0" borderId="0" xfId="0" applyFont="1" applyBorder="1"/>
    <xf numFmtId="2" fontId="4" fillId="0" borderId="0" xfId="0" applyNumberFormat="1" applyFont="1" applyBorder="1"/>
    <xf numFmtId="0" fontId="5" fillId="0" borderId="0" xfId="0" applyFont="1" applyBorder="1"/>
    <xf numFmtId="2" fontId="5" fillId="0" borderId="0" xfId="0" applyNumberFormat="1" applyFont="1" applyBorder="1"/>
    <xf numFmtId="0" fontId="5" fillId="0" borderId="2" xfId="0" applyFont="1" applyBorder="1"/>
    <xf numFmtId="2" fontId="5" fillId="0" borderId="2" xfId="0" applyNumberFormat="1" applyFont="1" applyBorder="1"/>
    <xf numFmtId="0" fontId="4" fillId="0" borderId="1" xfId="0" applyFont="1" applyBorder="1"/>
    <xf numFmtId="2" fontId="4" fillId="0" borderId="1" xfId="0" applyNumberFormat="1" applyFont="1" applyBorder="1"/>
    <xf numFmtId="0" fontId="4" fillId="0" borderId="0" xfId="0" applyFont="1"/>
    <xf numFmtId="2" fontId="4" fillId="0" borderId="0" xfId="0" applyNumberFormat="1" applyFont="1"/>
    <xf numFmtId="0" fontId="4" fillId="0" borderId="2" xfId="0" applyFont="1" applyBorder="1"/>
    <xf numFmtId="2" fontId="4" fillId="0" borderId="2" xfId="0" applyNumberFormat="1" applyFont="1" applyBorder="1"/>
    <xf numFmtId="0" fontId="2" fillId="0" borderId="1" xfId="0" applyFont="1" applyBorder="1"/>
    <xf numFmtId="2" fontId="2" fillId="0" borderId="1" xfId="0" applyNumberFormat="1" applyFont="1" applyBorder="1"/>
    <xf numFmtId="165" fontId="4" fillId="0" borderId="0" xfId="0" applyNumberFormat="1" applyFont="1"/>
    <xf numFmtId="165" fontId="4" fillId="0" borderId="2" xfId="0" applyNumberFormat="1" applyFont="1" applyBorder="1"/>
    <xf numFmtId="0" fontId="4" fillId="0" borderId="3" xfId="0" applyFont="1" applyBorder="1"/>
    <xf numFmtId="2" fontId="2" fillId="0" borderId="0" xfId="0" applyNumberFormat="1" applyFont="1"/>
    <xf numFmtId="2" fontId="4" fillId="0" borderId="3" xfId="0" applyNumberFormat="1" applyFont="1" applyBorder="1"/>
    <xf numFmtId="0" fontId="6" fillId="0" borderId="0" xfId="0" applyFont="1"/>
    <xf numFmtId="9" fontId="0" fillId="0" borderId="0" xfId="0" applyNumberFormat="1"/>
    <xf numFmtId="0" fontId="7" fillId="0" borderId="0" xfId="0" applyFont="1" applyAlignment="1">
      <alignment vertical="center"/>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10" fillId="0" borderId="0" xfId="0" applyFont="1"/>
    <xf numFmtId="9" fontId="8" fillId="0" borderId="0" xfId="0" applyNumberFormat="1" applyFont="1"/>
    <xf numFmtId="0" fontId="10" fillId="0" borderId="0" xfId="0" applyFont="1" applyAlignment="1">
      <alignment horizontal="left" vertical="top"/>
    </xf>
    <xf numFmtId="0" fontId="0" fillId="0" borderId="0" xfId="0" applyAlignment="1">
      <alignment horizontal="right"/>
    </xf>
    <xf numFmtId="10" fontId="0" fillId="0" borderId="0" xfId="2" applyNumberFormat="1" applyFont="1"/>
    <xf numFmtId="0" fontId="0" fillId="0" borderId="7" xfId="0" applyBorder="1"/>
    <xf numFmtId="0" fontId="0" fillId="0" borderId="8" xfId="0" applyBorder="1"/>
    <xf numFmtId="0" fontId="0" fillId="0" borderId="0" xfId="0" applyBorder="1"/>
    <xf numFmtId="9" fontId="0" fillId="0" borderId="0" xfId="0" applyNumberFormat="1" applyBorder="1"/>
    <xf numFmtId="0" fontId="0" fillId="0" borderId="4" xfId="0" applyBorder="1" applyAlignment="1">
      <alignment horizontal="right"/>
    </xf>
    <xf numFmtId="0" fontId="0" fillId="0" borderId="9" xfId="0" applyBorder="1"/>
    <xf numFmtId="10" fontId="0" fillId="0" borderId="5" xfId="2" applyNumberFormat="1" applyFont="1" applyBorder="1" applyAlignment="1">
      <alignment horizontal="right"/>
    </xf>
    <xf numFmtId="10" fontId="0" fillId="0" borderId="5" xfId="2" applyNumberFormat="1" applyFont="1" applyBorder="1"/>
    <xf numFmtId="10" fontId="0" fillId="0" borderId="6" xfId="2" applyNumberFormat="1" applyFont="1" applyBorder="1"/>
    <xf numFmtId="0" fontId="11" fillId="0" borderId="0" xfId="0" applyFont="1" applyAlignment="1">
      <alignment horizontal="left" vertical="top" wrapText="1"/>
    </xf>
    <xf numFmtId="0" fontId="11" fillId="0" borderId="0" xfId="0" applyFont="1" applyAlignment="1">
      <alignment horizontal="left" vertical="top"/>
    </xf>
    <xf numFmtId="10" fontId="8" fillId="0" borderId="0" xfId="0" applyNumberFormat="1" applyFont="1"/>
    <xf numFmtId="164" fontId="8" fillId="0" borderId="0" xfId="1" applyFont="1"/>
    <xf numFmtId="0" fontId="7" fillId="0" borderId="0" xfId="0" applyFont="1" applyAlignment="1">
      <alignment vertical="center"/>
    </xf>
    <xf numFmtId="0" fontId="0" fillId="0" borderId="0" xfId="0" applyBorder="1" applyAlignment="1">
      <alignment horizontal="right"/>
    </xf>
    <xf numFmtId="10" fontId="0" fillId="0" borderId="0" xfId="2" applyNumberFormat="1" applyFont="1" applyBorder="1" applyAlignment="1">
      <alignment horizontal="right"/>
    </xf>
    <xf numFmtId="10" fontId="0" fillId="0" borderId="0" xfId="2" applyNumberFormat="1" applyFont="1" applyBorder="1"/>
    <xf numFmtId="164" fontId="8" fillId="0" borderId="0" xfId="0" applyNumberFormat="1" applyFont="1"/>
    <xf numFmtId="2" fontId="8" fillId="0" borderId="0" xfId="0" applyNumberFormat="1" applyFont="1"/>
    <xf numFmtId="166" fontId="4" fillId="0" borderId="3" xfId="0" applyNumberFormat="1" applyFont="1" applyBorder="1"/>
    <xf numFmtId="0" fontId="2" fillId="0" borderId="0" xfId="0" applyFont="1"/>
    <xf numFmtId="0" fontId="13" fillId="0" borderId="0" xfId="0" applyFont="1" applyAlignment="1">
      <alignment vertical="top"/>
    </xf>
    <xf numFmtId="0" fontId="14" fillId="0" borderId="0" xfId="0" applyFont="1"/>
    <xf numFmtId="0" fontId="16" fillId="2" borderId="0" xfId="0" applyFont="1" applyFill="1" applyAlignment="1">
      <alignment horizontal="left" vertical="top" wrapText="1"/>
    </xf>
    <xf numFmtId="0" fontId="17" fillId="0" borderId="0" xfId="0" applyFont="1" applyAlignment="1">
      <alignment wrapText="1"/>
    </xf>
    <xf numFmtId="0" fontId="8" fillId="2" borderId="0" xfId="0" applyFont="1" applyFill="1" applyAlignment="1">
      <alignment horizontal="left" vertical="top" wrapText="1"/>
    </xf>
    <xf numFmtId="0" fontId="7" fillId="0" borderId="0" xfId="0" applyFont="1" applyAlignment="1">
      <alignment vertical="center"/>
    </xf>
    <xf numFmtId="0" fontId="12" fillId="0" borderId="0" xfId="0" applyFont="1" applyAlignment="1">
      <alignment horizontal="left" vertical="top"/>
    </xf>
    <xf numFmtId="0" fontId="15" fillId="0" borderId="0" xfId="0" applyFont="1" applyAlignment="1">
      <alignment horizontal="left" vertical="top" wrapText="1"/>
    </xf>
    <xf numFmtId="0" fontId="2" fillId="0" borderId="0" xfId="0" applyFont="1"/>
    <xf numFmtId="0" fontId="2" fillId="0" borderId="0" xfId="0" applyFont="1" applyAlignment="1">
      <alignment wrapText="1"/>
    </xf>
    <xf numFmtId="0" fontId="4" fillId="0" borderId="0" xfId="0" applyFont="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88F80"/>
      <color rgb="FFA40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Natural Capital Indicators'!A1"/><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ernalisation factors'!A1"/><Relationship Id="rId1" Type="http://schemas.openxmlformats.org/officeDocument/2006/relationships/hyperlink" Target="#Summary!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hyperlink" Target="#'Natural Capital Indicators'!A1"/><Relationship Id="rId2" Type="http://schemas.openxmlformats.org/officeDocument/2006/relationships/image" Target="../media/image6.png"/><Relationship Id="rId1" Type="http://schemas.openxmlformats.org/officeDocument/2006/relationships/image" Target="../media/image5.jpeg"/><Relationship Id="rId4" Type="http://schemas.openxmlformats.org/officeDocument/2006/relationships/hyperlink" Target="#'Financial implications'!A1"/></Relationships>
</file>

<file path=xl/drawings/_rels/drawing4.xml.rels><?xml version="1.0" encoding="UTF-8" standalone="yes"?>
<Relationships xmlns="http://schemas.openxmlformats.org/package/2006/relationships"><Relationship Id="rId3" Type="http://schemas.openxmlformats.org/officeDocument/2006/relationships/hyperlink" Target="#Summary!A1"/><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123825</xdr:rowOff>
    </xdr:from>
    <xdr:to>
      <xdr:col>3</xdr:col>
      <xdr:colOff>523874</xdr:colOff>
      <xdr:row>2</xdr:row>
      <xdr:rowOff>180974</xdr:rowOff>
    </xdr:to>
    <xdr:pic>
      <xdr:nvPicPr>
        <xdr:cNvPr id="2" name="Picture 1" descr="https://pbs.twimg.com/profile_images/757891874/Trucost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7075" y="123825"/>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9102829</xdr:colOff>
      <xdr:row>0</xdr:row>
      <xdr:rowOff>142875</xdr:rowOff>
    </xdr:from>
    <xdr:to>
      <xdr:col>2</xdr:col>
      <xdr:colOff>390524</xdr:colOff>
      <xdr:row>2</xdr:row>
      <xdr:rowOff>133349</xdr:rowOff>
    </xdr:to>
    <xdr:pic>
      <xdr:nvPicPr>
        <xdr:cNvPr id="6" name="Picture 5" descr="http://phytotrade.com/wp-content/uploads/giz-logo-organisateurs_135788701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64854" y="142875"/>
          <a:ext cx="736495"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8610600</xdr:colOff>
      <xdr:row>11</xdr:row>
      <xdr:rowOff>57150</xdr:rowOff>
    </xdr:from>
    <xdr:to>
      <xdr:col>3</xdr:col>
      <xdr:colOff>533400</xdr:colOff>
      <xdr:row>14</xdr:row>
      <xdr:rowOff>114300</xdr:rowOff>
    </xdr:to>
    <xdr:sp macro="" textlink="">
      <xdr:nvSpPr>
        <xdr:cNvPr id="8" name="TextBox 7">
          <a:hlinkClick xmlns:r="http://schemas.openxmlformats.org/officeDocument/2006/relationships" r:id="rId3"/>
        </xdr:cNvPr>
        <xdr:cNvSpPr txBox="1"/>
      </xdr:nvSpPr>
      <xdr:spPr>
        <a:xfrm>
          <a:off x="9572625" y="6200775"/>
          <a:ext cx="1981200" cy="600075"/>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Natural Capital Indicators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123826</xdr:colOff>
      <xdr:row>10</xdr:row>
      <xdr:rowOff>180974</xdr:rowOff>
    </xdr:from>
    <xdr:to>
      <xdr:col>2</xdr:col>
      <xdr:colOff>1495426</xdr:colOff>
      <xdr:row>15</xdr:row>
      <xdr:rowOff>95249</xdr:rowOff>
    </xdr:to>
    <xdr:sp macro="" textlink="">
      <xdr:nvSpPr>
        <xdr:cNvPr id="3" name="TextBox 2"/>
        <xdr:cNvSpPr txBox="1"/>
      </xdr:nvSpPr>
      <xdr:spPr>
        <a:xfrm>
          <a:off x="733426" y="2085974"/>
          <a:ext cx="198120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Policy/Regulation</a:t>
          </a:r>
        </a:p>
        <a:p>
          <a:r>
            <a:rPr lang="en-GB" sz="1000">
              <a:latin typeface="Arial" panose="020B0604020202020204" pitchFamily="34" charset="0"/>
              <a:cs typeface="Arial" panose="020B0604020202020204" pitchFamily="34" charset="0"/>
            </a:rPr>
            <a:t>Changes in legislation and/or voluntary commitments</a:t>
          </a:r>
          <a:r>
            <a:rPr lang="en-GB" sz="1000" baseline="0">
              <a:latin typeface="Arial" panose="020B0604020202020204" pitchFamily="34" charset="0"/>
              <a:cs typeface="Arial" panose="020B0604020202020204" pitchFamily="34" charset="0"/>
            </a:rPr>
            <a:t> can increase c</a:t>
          </a:r>
          <a:r>
            <a:rPr lang="en-GB" sz="1000">
              <a:latin typeface="Arial" panose="020B0604020202020204" pitchFamily="34" charset="0"/>
              <a:cs typeface="Arial" panose="020B0604020202020204" pitchFamily="34" charset="0"/>
            </a:rPr>
            <a:t>osts associated with compliance or litigation.</a:t>
          </a:r>
        </a:p>
      </xdr:txBody>
    </xdr:sp>
    <xdr:clientData/>
  </xdr:twoCellAnchor>
  <xdr:twoCellAnchor>
    <xdr:from>
      <xdr:col>2</xdr:col>
      <xdr:colOff>1485900</xdr:colOff>
      <xdr:row>15</xdr:row>
      <xdr:rowOff>85725</xdr:rowOff>
    </xdr:from>
    <xdr:to>
      <xdr:col>3</xdr:col>
      <xdr:colOff>0</xdr:colOff>
      <xdr:row>17</xdr:row>
      <xdr:rowOff>104775</xdr:rowOff>
    </xdr:to>
    <xdr:cxnSp macro="">
      <xdr:nvCxnSpPr>
        <xdr:cNvPr id="5" name="Straight Arrow Connector 4"/>
        <xdr:cNvCxnSpPr/>
      </xdr:nvCxnSpPr>
      <xdr:spPr>
        <a:xfrm>
          <a:off x="2705100" y="2943225"/>
          <a:ext cx="1266825" cy="419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8</xdr:row>
      <xdr:rowOff>133349</xdr:rowOff>
    </xdr:from>
    <xdr:to>
      <xdr:col>10</xdr:col>
      <xdr:colOff>114300</xdr:colOff>
      <xdr:row>13</xdr:row>
      <xdr:rowOff>28575</xdr:rowOff>
    </xdr:to>
    <xdr:sp macro="" textlink="">
      <xdr:nvSpPr>
        <xdr:cNvPr id="10" name="TextBox 9"/>
        <xdr:cNvSpPr txBox="1"/>
      </xdr:nvSpPr>
      <xdr:spPr>
        <a:xfrm>
          <a:off x="9048750" y="2095499"/>
          <a:ext cx="1981200" cy="8477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Reputation</a:t>
          </a:r>
        </a:p>
        <a:p>
          <a:r>
            <a:rPr lang="en-GB" sz="1000" b="0">
              <a:latin typeface="Arial" panose="020B0604020202020204" pitchFamily="34" charset="0"/>
              <a:cs typeface="Arial" panose="020B0604020202020204" pitchFamily="34" charset="0"/>
            </a:rPr>
            <a:t>Public perception can influence</a:t>
          </a:r>
          <a:r>
            <a:rPr lang="en-GB" sz="1000" b="0" baseline="0">
              <a:latin typeface="Arial" panose="020B0604020202020204" pitchFamily="34" charset="0"/>
              <a:cs typeface="Arial" panose="020B0604020202020204" pitchFamily="34" charset="0"/>
            </a:rPr>
            <a:t> brand image and company sales</a:t>
          </a:r>
          <a:r>
            <a:rPr lang="en-GB" sz="1000">
              <a:latin typeface="Arial" panose="020B0604020202020204" pitchFamily="34" charset="0"/>
              <a:cs typeface="Arial" panose="020B0604020202020204" pitchFamily="34" charset="0"/>
            </a:rPr>
            <a:t>. Revnues may be hit if customers boycott</a:t>
          </a:r>
        </a:p>
      </xdr:txBody>
    </xdr:sp>
    <xdr:clientData/>
  </xdr:twoCellAnchor>
  <xdr:twoCellAnchor>
    <xdr:from>
      <xdr:col>5</xdr:col>
      <xdr:colOff>19051</xdr:colOff>
      <xdr:row>8</xdr:row>
      <xdr:rowOff>142875</xdr:rowOff>
    </xdr:from>
    <xdr:to>
      <xdr:col>6</xdr:col>
      <xdr:colOff>581025</xdr:colOff>
      <xdr:row>11</xdr:row>
      <xdr:rowOff>104775</xdr:rowOff>
    </xdr:to>
    <xdr:cxnSp macro="">
      <xdr:nvCxnSpPr>
        <xdr:cNvPr id="11" name="Straight Arrow Connector 10"/>
        <xdr:cNvCxnSpPr/>
      </xdr:nvCxnSpPr>
      <xdr:spPr>
        <a:xfrm flipH="1">
          <a:off x="7572376" y="2105025"/>
          <a:ext cx="1485899" cy="5334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495301</xdr:colOff>
      <xdr:row>15</xdr:row>
      <xdr:rowOff>76199</xdr:rowOff>
    </xdr:from>
    <xdr:to>
      <xdr:col>10</xdr:col>
      <xdr:colOff>38101</xdr:colOff>
      <xdr:row>19</xdr:row>
      <xdr:rowOff>123826</xdr:rowOff>
    </xdr:to>
    <xdr:sp macro="" textlink="">
      <xdr:nvSpPr>
        <xdr:cNvPr id="16" name="TextBox 15"/>
        <xdr:cNvSpPr txBox="1"/>
      </xdr:nvSpPr>
      <xdr:spPr>
        <a:xfrm>
          <a:off x="8972551" y="2933699"/>
          <a:ext cx="1981200" cy="8382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Operations</a:t>
          </a:r>
        </a:p>
        <a:p>
          <a:r>
            <a:rPr lang="en-GB" sz="1000" b="0">
              <a:latin typeface="Arial" panose="020B0604020202020204" pitchFamily="34" charset="0"/>
              <a:cs typeface="Arial" panose="020B0604020202020204" pitchFamily="34" charset="0"/>
            </a:rPr>
            <a:t>Levels of fuel,water and</a:t>
          </a:r>
          <a:r>
            <a:rPr lang="en-GB" sz="1000" b="0" baseline="0">
              <a:latin typeface="Arial" panose="020B0604020202020204" pitchFamily="34" charset="0"/>
              <a:cs typeface="Arial" panose="020B0604020202020204" pitchFamily="34" charset="0"/>
            </a:rPr>
            <a:t> fertilizer </a:t>
          </a:r>
          <a:r>
            <a:rPr lang="en-GB" sz="1000" b="0">
              <a:latin typeface="Arial" panose="020B0604020202020204" pitchFamily="34" charset="0"/>
              <a:cs typeface="Arial" panose="020B0604020202020204" pitchFamily="34" charset="0"/>
            </a:rPr>
            <a:t>efficiency can determine operational</a:t>
          </a:r>
          <a:r>
            <a:rPr lang="en-GB" sz="1000" b="0" baseline="0">
              <a:latin typeface="Arial" panose="020B0604020202020204" pitchFamily="34" charset="0"/>
              <a:cs typeface="Arial" panose="020B0604020202020204" pitchFamily="34" charset="0"/>
            </a:rPr>
            <a:t> input costs</a:t>
          </a:r>
          <a:r>
            <a:rPr lang="en-GB" sz="1000" b="0">
              <a:latin typeface="Arial" panose="020B0604020202020204" pitchFamily="34" charset="0"/>
              <a:cs typeface="Arial" panose="020B0604020202020204" pitchFamily="34" charset="0"/>
            </a:rPr>
            <a:t>.</a:t>
          </a:r>
        </a:p>
      </xdr:txBody>
    </xdr:sp>
    <xdr:clientData/>
  </xdr:twoCellAnchor>
  <xdr:twoCellAnchor>
    <xdr:from>
      <xdr:col>4</xdr:col>
      <xdr:colOff>914401</xdr:colOff>
      <xdr:row>13</xdr:row>
      <xdr:rowOff>95251</xdr:rowOff>
    </xdr:from>
    <xdr:to>
      <xdr:col>6</xdr:col>
      <xdr:colOff>495300</xdr:colOff>
      <xdr:row>15</xdr:row>
      <xdr:rowOff>76200</xdr:rowOff>
    </xdr:to>
    <xdr:cxnSp macro="">
      <xdr:nvCxnSpPr>
        <xdr:cNvPr id="17" name="Straight Arrow Connector 16"/>
        <xdr:cNvCxnSpPr/>
      </xdr:nvCxnSpPr>
      <xdr:spPr>
        <a:xfrm flipH="1" flipV="1">
          <a:off x="7543801" y="2571751"/>
          <a:ext cx="1428749" cy="3619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3</xdr:row>
      <xdr:rowOff>238125</xdr:rowOff>
    </xdr:from>
    <xdr:to>
      <xdr:col>9</xdr:col>
      <xdr:colOff>476250</xdr:colOff>
      <xdr:row>8</xdr:row>
      <xdr:rowOff>0</xdr:rowOff>
    </xdr:to>
    <xdr:sp macro="" textlink="">
      <xdr:nvSpPr>
        <xdr:cNvPr id="20" name="TextBox 19"/>
        <xdr:cNvSpPr txBox="1"/>
      </xdr:nvSpPr>
      <xdr:spPr>
        <a:xfrm>
          <a:off x="8705850" y="1066800"/>
          <a:ext cx="2076450" cy="895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Market</a:t>
          </a:r>
        </a:p>
        <a:p>
          <a:r>
            <a:rPr lang="en-GB" sz="1000" b="0">
              <a:latin typeface="Arial" panose="020B0604020202020204" pitchFamily="34" charset="0"/>
              <a:cs typeface="Arial" panose="020B0604020202020204" pitchFamily="34" charset="0"/>
            </a:rPr>
            <a:t>Customers</a:t>
          </a:r>
          <a:r>
            <a:rPr lang="en-GB" sz="1000" b="0" baseline="0">
              <a:latin typeface="Arial" panose="020B0604020202020204" pitchFamily="34" charset="0"/>
              <a:cs typeface="Arial" panose="020B0604020202020204" pitchFamily="34" charset="0"/>
            </a:rPr>
            <a:t> increasingly mandate environmental sustainability in their supply chain</a:t>
          </a:r>
          <a:endParaRPr lang="en-GB" sz="1000">
            <a:latin typeface="Arial" panose="020B0604020202020204" pitchFamily="34" charset="0"/>
            <a:cs typeface="Arial" panose="020B0604020202020204" pitchFamily="34" charset="0"/>
          </a:endParaRPr>
        </a:p>
      </xdr:txBody>
    </xdr:sp>
    <xdr:clientData/>
  </xdr:twoCellAnchor>
  <xdr:twoCellAnchor>
    <xdr:from>
      <xdr:col>4</xdr:col>
      <xdr:colOff>904875</xdr:colOff>
      <xdr:row>3</xdr:row>
      <xdr:rowOff>257175</xdr:rowOff>
    </xdr:from>
    <xdr:to>
      <xdr:col>6</xdr:col>
      <xdr:colOff>219075</xdr:colOff>
      <xdr:row>11</xdr:row>
      <xdr:rowOff>28575</xdr:rowOff>
    </xdr:to>
    <xdr:cxnSp macro="">
      <xdr:nvCxnSpPr>
        <xdr:cNvPr id="21" name="Straight Arrow Connector 20"/>
        <xdr:cNvCxnSpPr/>
      </xdr:nvCxnSpPr>
      <xdr:spPr>
        <a:xfrm flipH="1">
          <a:off x="7534275" y="1085850"/>
          <a:ext cx="1162050" cy="1476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85726</xdr:colOff>
      <xdr:row>17</xdr:row>
      <xdr:rowOff>123825</xdr:rowOff>
    </xdr:from>
    <xdr:to>
      <xdr:col>2</xdr:col>
      <xdr:colOff>1457326</xdr:colOff>
      <xdr:row>21</xdr:row>
      <xdr:rowOff>19050</xdr:rowOff>
    </xdr:to>
    <xdr:sp macro="" textlink="">
      <xdr:nvSpPr>
        <xdr:cNvPr id="24" name="TextBox 23"/>
        <xdr:cNvSpPr txBox="1"/>
      </xdr:nvSpPr>
      <xdr:spPr>
        <a:xfrm>
          <a:off x="695326" y="3381375"/>
          <a:ext cx="1981200" cy="676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Customer Loyalty</a:t>
          </a:r>
        </a:p>
        <a:p>
          <a:r>
            <a:rPr lang="en-GB" sz="1000" b="0">
              <a:latin typeface="Arial" panose="020B0604020202020204" pitchFamily="34" charset="0"/>
              <a:cs typeface="Arial" panose="020B0604020202020204" pitchFamily="34" charset="0"/>
            </a:rPr>
            <a:t>Long term</a:t>
          </a:r>
          <a:r>
            <a:rPr lang="en-GB" sz="1000" b="0" baseline="0">
              <a:latin typeface="Arial" panose="020B0604020202020204" pitchFamily="34" charset="0"/>
              <a:cs typeface="Arial" panose="020B0604020202020204" pitchFamily="34" charset="0"/>
            </a:rPr>
            <a:t> contracts with customers reduce business risk.</a:t>
          </a:r>
          <a:endParaRPr lang="en-GB" sz="1000" b="0">
            <a:latin typeface="Arial" panose="020B0604020202020204" pitchFamily="34" charset="0"/>
            <a:cs typeface="Arial" panose="020B0604020202020204" pitchFamily="34" charset="0"/>
          </a:endParaRPr>
        </a:p>
      </xdr:txBody>
    </xdr:sp>
    <xdr:clientData/>
  </xdr:twoCellAnchor>
  <xdr:twoCellAnchor>
    <xdr:from>
      <xdr:col>2</xdr:col>
      <xdr:colOff>1466850</xdr:colOff>
      <xdr:row>17</xdr:row>
      <xdr:rowOff>133350</xdr:rowOff>
    </xdr:from>
    <xdr:to>
      <xdr:col>2</xdr:col>
      <xdr:colOff>2724150</xdr:colOff>
      <xdr:row>19</xdr:row>
      <xdr:rowOff>123825</xdr:rowOff>
    </xdr:to>
    <xdr:cxnSp macro="">
      <xdr:nvCxnSpPr>
        <xdr:cNvPr id="25" name="Straight Arrow Connector 24"/>
        <xdr:cNvCxnSpPr/>
      </xdr:nvCxnSpPr>
      <xdr:spPr>
        <a:xfrm>
          <a:off x="2686050" y="3390900"/>
          <a:ext cx="1257300" cy="381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57150</xdr:rowOff>
    </xdr:from>
    <xdr:to>
      <xdr:col>2</xdr:col>
      <xdr:colOff>1371600</xdr:colOff>
      <xdr:row>10</xdr:row>
      <xdr:rowOff>57150</xdr:rowOff>
    </xdr:to>
    <xdr:sp macro="" textlink="">
      <xdr:nvSpPr>
        <xdr:cNvPr id="27" name="TextBox 26"/>
        <xdr:cNvSpPr txBox="1"/>
      </xdr:nvSpPr>
      <xdr:spPr>
        <a:xfrm>
          <a:off x="609600" y="1257300"/>
          <a:ext cx="1981200"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Climate</a:t>
          </a:r>
        </a:p>
        <a:p>
          <a:r>
            <a:rPr lang="en-GB" sz="1000" b="0">
              <a:latin typeface="Arial" panose="020B0604020202020204" pitchFamily="34" charset="0"/>
              <a:cs typeface="Arial" panose="020B0604020202020204" pitchFamily="34" charset="0"/>
            </a:rPr>
            <a:t>Increased likelihood of extreme weather events such as droughts and floods prevent agricultural productivity and cause farming</a:t>
          </a:r>
          <a:r>
            <a:rPr lang="en-GB" sz="1000" b="0" baseline="0">
              <a:latin typeface="Arial" panose="020B0604020202020204" pitchFamily="34" charset="0"/>
              <a:cs typeface="Arial" panose="020B0604020202020204" pitchFamily="34" charset="0"/>
            </a:rPr>
            <a:t> equipment to become redundant.</a:t>
          </a:r>
          <a:endParaRPr lang="en-GB" sz="1000" b="0">
            <a:latin typeface="Arial" panose="020B0604020202020204" pitchFamily="34" charset="0"/>
            <a:cs typeface="Arial" panose="020B0604020202020204" pitchFamily="34" charset="0"/>
          </a:endParaRPr>
        </a:p>
      </xdr:txBody>
    </xdr:sp>
    <xdr:clientData/>
  </xdr:twoCellAnchor>
  <xdr:twoCellAnchor>
    <xdr:from>
      <xdr:col>2</xdr:col>
      <xdr:colOff>1381125</xdr:colOff>
      <xdr:row>8</xdr:row>
      <xdr:rowOff>38100</xdr:rowOff>
    </xdr:from>
    <xdr:to>
      <xdr:col>3</xdr:col>
      <xdr:colOff>9525</xdr:colOff>
      <xdr:row>14</xdr:row>
      <xdr:rowOff>114300</xdr:rowOff>
    </xdr:to>
    <xdr:cxnSp macro="">
      <xdr:nvCxnSpPr>
        <xdr:cNvPr id="28" name="Straight Arrow Connector 27"/>
        <xdr:cNvCxnSpPr/>
      </xdr:nvCxnSpPr>
      <xdr:spPr>
        <a:xfrm>
          <a:off x="2600325" y="1562100"/>
          <a:ext cx="1381125" cy="1219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22</xdr:row>
      <xdr:rowOff>76198</xdr:rowOff>
    </xdr:from>
    <xdr:to>
      <xdr:col>10</xdr:col>
      <xdr:colOff>57150</xdr:colOff>
      <xdr:row>26</xdr:row>
      <xdr:rowOff>114301</xdr:rowOff>
    </xdr:to>
    <xdr:sp macro="" textlink="">
      <xdr:nvSpPr>
        <xdr:cNvPr id="32" name="TextBox 31"/>
        <xdr:cNvSpPr txBox="1"/>
      </xdr:nvSpPr>
      <xdr:spPr>
        <a:xfrm>
          <a:off x="8991600" y="4314823"/>
          <a:ext cx="1981200" cy="8286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Resource Depletion</a:t>
          </a:r>
          <a:endParaRPr lang="en-GB" sz="1000">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Declining soil</a:t>
          </a:r>
          <a:r>
            <a:rPr lang="en-GB" sz="1000" baseline="0">
              <a:solidFill>
                <a:schemeClr val="dk1"/>
              </a:solidFill>
              <a:effectLst/>
              <a:latin typeface="Arial" panose="020B0604020202020204" pitchFamily="34" charset="0"/>
              <a:ea typeface="+mn-ea"/>
              <a:cs typeface="Arial" panose="020B0604020202020204" pitchFamily="34" charset="0"/>
            </a:rPr>
            <a:t> quality and soil water retention reduce land fertility. Land asset value falls with productivity levels.</a:t>
          </a:r>
          <a:endParaRPr lang="en-GB" sz="1000">
            <a:effectLst/>
            <a:latin typeface="Arial" panose="020B0604020202020204" pitchFamily="34" charset="0"/>
            <a:cs typeface="Arial" panose="020B0604020202020204" pitchFamily="34" charset="0"/>
          </a:endParaRPr>
        </a:p>
      </xdr:txBody>
    </xdr:sp>
    <xdr:clientData/>
  </xdr:twoCellAnchor>
  <xdr:twoCellAnchor>
    <xdr:from>
      <xdr:col>5</xdr:col>
      <xdr:colOff>9525</xdr:colOff>
      <xdr:row>20</xdr:row>
      <xdr:rowOff>104775</xdr:rowOff>
    </xdr:from>
    <xdr:to>
      <xdr:col>6</xdr:col>
      <xdr:colOff>514349</xdr:colOff>
      <xdr:row>22</xdr:row>
      <xdr:rowOff>76199</xdr:rowOff>
    </xdr:to>
    <xdr:cxnSp macro="">
      <xdr:nvCxnSpPr>
        <xdr:cNvPr id="33" name="Straight Arrow Connector 32"/>
        <xdr:cNvCxnSpPr/>
      </xdr:nvCxnSpPr>
      <xdr:spPr>
        <a:xfrm flipH="1" flipV="1">
          <a:off x="7562850" y="3952875"/>
          <a:ext cx="1428749" cy="3619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23</xdr:row>
      <xdr:rowOff>152400</xdr:rowOff>
    </xdr:from>
    <xdr:to>
      <xdr:col>2</xdr:col>
      <xdr:colOff>1409700</xdr:colOff>
      <xdr:row>27</xdr:row>
      <xdr:rowOff>114300</xdr:rowOff>
    </xdr:to>
    <xdr:sp macro="" textlink="">
      <xdr:nvSpPr>
        <xdr:cNvPr id="34" name="TextBox 33"/>
        <xdr:cNvSpPr txBox="1"/>
      </xdr:nvSpPr>
      <xdr:spPr>
        <a:xfrm>
          <a:off x="647700" y="5029200"/>
          <a:ext cx="1981200" cy="742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Subsidy</a:t>
          </a:r>
        </a:p>
        <a:p>
          <a:r>
            <a:rPr lang="en-GB" sz="1000" b="0">
              <a:latin typeface="Arial" panose="020B0604020202020204" pitchFamily="34" charset="0"/>
              <a:cs typeface="Arial" panose="020B0604020202020204" pitchFamily="34" charset="0"/>
            </a:rPr>
            <a:t>Tax breaks</a:t>
          </a:r>
          <a:r>
            <a:rPr lang="en-GB" sz="1000" b="0" baseline="0">
              <a:latin typeface="Arial" panose="020B0604020202020204" pitchFamily="34" charset="0"/>
              <a:cs typeface="Arial" panose="020B0604020202020204" pitchFamily="34" charset="0"/>
            </a:rPr>
            <a:t> on sustainable practices increase income available to investors.</a:t>
          </a:r>
          <a:endParaRPr lang="en-GB" sz="1000" b="0">
            <a:latin typeface="Arial" panose="020B0604020202020204" pitchFamily="34" charset="0"/>
            <a:cs typeface="Arial" panose="020B0604020202020204" pitchFamily="34" charset="0"/>
          </a:endParaRPr>
        </a:p>
      </xdr:txBody>
    </xdr:sp>
    <xdr:clientData/>
  </xdr:twoCellAnchor>
  <xdr:twoCellAnchor>
    <xdr:from>
      <xdr:col>2</xdr:col>
      <xdr:colOff>1409700</xdr:colOff>
      <xdr:row>22</xdr:row>
      <xdr:rowOff>133350</xdr:rowOff>
    </xdr:from>
    <xdr:to>
      <xdr:col>2</xdr:col>
      <xdr:colOff>2733674</xdr:colOff>
      <xdr:row>23</xdr:row>
      <xdr:rowOff>152400</xdr:rowOff>
    </xdr:to>
    <xdr:cxnSp macro="">
      <xdr:nvCxnSpPr>
        <xdr:cNvPr id="35" name="Straight Arrow Connector 34"/>
        <xdr:cNvCxnSpPr/>
      </xdr:nvCxnSpPr>
      <xdr:spPr>
        <a:xfrm flipV="1">
          <a:off x="2628900" y="4371975"/>
          <a:ext cx="1323974" cy="2190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29</xdr:row>
      <xdr:rowOff>104775</xdr:rowOff>
    </xdr:from>
    <xdr:to>
      <xdr:col>2</xdr:col>
      <xdr:colOff>809625</xdr:colOff>
      <xdr:row>32</xdr:row>
      <xdr:rowOff>133350</xdr:rowOff>
    </xdr:to>
    <xdr:sp macro="" textlink="">
      <xdr:nvSpPr>
        <xdr:cNvPr id="43" name="TextBox 42">
          <a:hlinkClick xmlns:r="http://schemas.openxmlformats.org/officeDocument/2006/relationships" r:id="rId1"/>
        </xdr:cNvPr>
        <xdr:cNvSpPr txBox="1"/>
      </xdr:nvSpPr>
      <xdr:spPr>
        <a:xfrm>
          <a:off x="47625" y="6143625"/>
          <a:ext cx="1981200" cy="600075"/>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Summary</a:t>
          </a:r>
        </a:p>
      </xdr:txBody>
    </xdr:sp>
    <xdr:clientData/>
  </xdr:twoCellAnchor>
  <xdr:twoCellAnchor>
    <xdr:from>
      <xdr:col>7</xdr:col>
      <xdr:colOff>371475</xdr:colOff>
      <xdr:row>29</xdr:row>
      <xdr:rowOff>95250</xdr:rowOff>
    </xdr:from>
    <xdr:to>
      <xdr:col>10</xdr:col>
      <xdr:colOff>523875</xdr:colOff>
      <xdr:row>32</xdr:row>
      <xdr:rowOff>123825</xdr:rowOff>
    </xdr:to>
    <xdr:sp macro="" textlink="">
      <xdr:nvSpPr>
        <xdr:cNvPr id="44" name="TextBox 43">
          <a:hlinkClick xmlns:r="http://schemas.openxmlformats.org/officeDocument/2006/relationships" r:id="rId2"/>
        </xdr:cNvPr>
        <xdr:cNvSpPr txBox="1"/>
      </xdr:nvSpPr>
      <xdr:spPr>
        <a:xfrm>
          <a:off x="9458325" y="6134100"/>
          <a:ext cx="1981200" cy="600075"/>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Internalization</a:t>
          </a:r>
          <a:r>
            <a:rPr lang="en-GB" sz="1100" baseline="0">
              <a:solidFill>
                <a:schemeClr val="bg1"/>
              </a:solidFill>
            </a:rPr>
            <a:t> factors</a:t>
          </a:r>
          <a:endParaRPr lang="en-GB" sz="1100">
            <a:solidFill>
              <a:schemeClr val="bg1"/>
            </a:solidFill>
          </a:endParaRPr>
        </a:p>
      </xdr:txBody>
    </xdr:sp>
    <xdr:clientData/>
  </xdr:twoCellAnchor>
  <xdr:oneCellAnchor>
    <xdr:from>
      <xdr:col>8</xdr:col>
      <xdr:colOff>238125</xdr:colOff>
      <xdr:row>0</xdr:row>
      <xdr:rowOff>104775</xdr:rowOff>
    </xdr:from>
    <xdr:ext cx="723900" cy="615756"/>
    <xdr:pic>
      <xdr:nvPicPr>
        <xdr:cNvPr id="46" name="Picture 45" descr="http://phytotrade.com/wp-content/uploads/giz-logo-organisateurs_1357887014.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34575" y="104775"/>
          <a:ext cx="723900" cy="6157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476250</xdr:colOff>
      <xdr:row>0</xdr:row>
      <xdr:rowOff>76201</xdr:rowOff>
    </xdr:from>
    <xdr:to>
      <xdr:col>10</xdr:col>
      <xdr:colOff>542925</xdr:colOff>
      <xdr:row>2</xdr:row>
      <xdr:rowOff>96966</xdr:rowOff>
    </xdr:to>
    <xdr:pic>
      <xdr:nvPicPr>
        <xdr:cNvPr id="47" name="Picture 46" descr="https://pbs.twimg.com/profile_images/757891874/TrucostLogo.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82300" y="76201"/>
          <a:ext cx="676275" cy="639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1756834</xdr:colOff>
      <xdr:row>0</xdr:row>
      <xdr:rowOff>76200</xdr:rowOff>
    </xdr:from>
    <xdr:to>
      <xdr:col>4</xdr:col>
      <xdr:colOff>518583</xdr:colOff>
      <xdr:row>2</xdr:row>
      <xdr:rowOff>324455</xdr:rowOff>
    </xdr:to>
    <xdr:pic>
      <xdr:nvPicPr>
        <xdr:cNvPr id="3" name="Picture 2" descr="https://pbs.twimg.com/profile_images/757891874/Trucost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4" y="76200"/>
          <a:ext cx="819149" cy="772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626984</xdr:colOff>
      <xdr:row>0</xdr:row>
      <xdr:rowOff>152400</xdr:rowOff>
    </xdr:from>
    <xdr:to>
      <xdr:col>3</xdr:col>
      <xdr:colOff>1492250</xdr:colOff>
      <xdr:row>2</xdr:row>
      <xdr:rowOff>250825</xdr:rowOff>
    </xdr:to>
    <xdr:pic>
      <xdr:nvPicPr>
        <xdr:cNvPr id="5" name="Picture 4" descr="http://phytotrade.com/wp-content/uploads/giz-logo-organisateurs_135788701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0984" y="152400"/>
          <a:ext cx="865266"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20</xdr:row>
      <xdr:rowOff>19050</xdr:rowOff>
    </xdr:from>
    <xdr:to>
      <xdr:col>1</xdr:col>
      <xdr:colOff>1228725</xdr:colOff>
      <xdr:row>23</xdr:row>
      <xdr:rowOff>142875</xdr:rowOff>
    </xdr:to>
    <xdr:sp macro="" textlink="">
      <xdr:nvSpPr>
        <xdr:cNvPr id="6" name="TextBox 5">
          <a:hlinkClick xmlns:r="http://schemas.openxmlformats.org/officeDocument/2006/relationships" r:id="rId3"/>
        </xdr:cNvPr>
        <xdr:cNvSpPr txBox="1"/>
      </xdr:nvSpPr>
      <xdr:spPr>
        <a:xfrm>
          <a:off x="95250" y="5724525"/>
          <a:ext cx="1828800" cy="609600"/>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Natural Capital Indicators</a:t>
          </a:r>
        </a:p>
      </xdr:txBody>
    </xdr:sp>
    <xdr:clientData/>
  </xdr:twoCellAnchor>
  <xdr:twoCellAnchor>
    <xdr:from>
      <xdr:col>3</xdr:col>
      <xdr:colOff>389466</xdr:colOff>
      <xdr:row>20</xdr:row>
      <xdr:rowOff>13758</xdr:rowOff>
    </xdr:from>
    <xdr:to>
      <xdr:col>4</xdr:col>
      <xdr:colOff>317499</xdr:colOff>
      <xdr:row>23</xdr:row>
      <xdr:rowOff>140758</xdr:rowOff>
    </xdr:to>
    <xdr:sp macro="" textlink="">
      <xdr:nvSpPr>
        <xdr:cNvPr id="7" name="TextBox 6">
          <a:hlinkClick xmlns:r="http://schemas.openxmlformats.org/officeDocument/2006/relationships" r:id="rId4"/>
        </xdr:cNvPr>
        <xdr:cNvSpPr txBox="1"/>
      </xdr:nvSpPr>
      <xdr:spPr>
        <a:xfrm>
          <a:off x="9533466" y="5881158"/>
          <a:ext cx="1985433" cy="612775"/>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Financial Implications</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285750</xdr:colOff>
      <xdr:row>0</xdr:row>
      <xdr:rowOff>133350</xdr:rowOff>
    </xdr:from>
    <xdr:ext cx="723900" cy="615756"/>
    <xdr:pic>
      <xdr:nvPicPr>
        <xdr:cNvPr id="2" name="Picture 1" descr="http://phytotrade.com/wp-content/uploads/giz-logo-organisateurs_1357887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33350"/>
          <a:ext cx="723900" cy="6157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381001</xdr:colOff>
      <xdr:row>0</xdr:row>
      <xdr:rowOff>114302</xdr:rowOff>
    </xdr:from>
    <xdr:to>
      <xdr:col>9</xdr:col>
      <xdr:colOff>476251</xdr:colOff>
      <xdr:row>3</xdr:row>
      <xdr:rowOff>149637</xdr:rowOff>
    </xdr:to>
    <xdr:pic>
      <xdr:nvPicPr>
        <xdr:cNvPr id="3" name="Picture 2" descr="https://pbs.twimg.com/profile_images/757891874/Trucost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1" y="114302"/>
          <a:ext cx="704850" cy="654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30</xdr:row>
      <xdr:rowOff>342900</xdr:rowOff>
    </xdr:from>
    <xdr:to>
      <xdr:col>10</xdr:col>
      <xdr:colOff>0</xdr:colOff>
      <xdr:row>34</xdr:row>
      <xdr:rowOff>9525</xdr:rowOff>
    </xdr:to>
    <xdr:sp macro="" textlink="">
      <xdr:nvSpPr>
        <xdr:cNvPr id="4" name="TextBox 3">
          <a:hlinkClick xmlns:r="http://schemas.openxmlformats.org/officeDocument/2006/relationships" r:id="rId3"/>
        </xdr:cNvPr>
        <xdr:cNvSpPr txBox="1"/>
      </xdr:nvSpPr>
      <xdr:spPr>
        <a:xfrm>
          <a:off x="9525000" y="6391275"/>
          <a:ext cx="1981200" cy="600075"/>
        </a:xfrm>
        <a:prstGeom prst="rect">
          <a:avLst/>
        </a:prstGeom>
        <a:solidFill>
          <a:srgbClr val="A400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rPr>
            <a:t>Summary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5"/>
  <sheetViews>
    <sheetView showGridLines="0" tabSelected="1" workbookViewId="0"/>
  </sheetViews>
  <sheetFormatPr defaultRowHeight="14.25" x14ac:dyDescent="0.2"/>
  <cols>
    <col min="1" max="1" width="14.42578125" style="1" customWidth="1"/>
    <col min="2" max="2" width="141.7109375" style="1" customWidth="1"/>
    <col min="3" max="16384" width="9.140625" style="1"/>
  </cols>
  <sheetData>
    <row r="1" spans="1:4" ht="32.25" customHeight="1" x14ac:dyDescent="0.2"/>
    <row r="2" spans="1:4" ht="15" x14ac:dyDescent="0.25">
      <c r="B2" s="58" t="s">
        <v>119</v>
      </c>
    </row>
    <row r="3" spans="1:4" ht="38.25" customHeight="1" x14ac:dyDescent="0.2">
      <c r="B3" s="25" t="s">
        <v>117</v>
      </c>
    </row>
    <row r="4" spans="1:4" ht="17.25" customHeight="1" x14ac:dyDescent="0.25">
      <c r="B4" s="1" t="s">
        <v>116</v>
      </c>
    </row>
    <row r="5" spans="1:4" x14ac:dyDescent="0.2">
      <c r="B5" s="2"/>
    </row>
    <row r="6" spans="1:4" ht="15" x14ac:dyDescent="0.25">
      <c r="B6" s="2"/>
      <c r="D6"/>
    </row>
    <row r="7" spans="1:4" ht="57.75" x14ac:dyDescent="0.2">
      <c r="B7" s="2" t="s">
        <v>118</v>
      </c>
    </row>
    <row r="8" spans="1:4" ht="13.5" customHeight="1" x14ac:dyDescent="0.2"/>
    <row r="9" spans="1:4" ht="156.75" x14ac:dyDescent="0.2">
      <c r="B9" s="2" t="s">
        <v>43</v>
      </c>
    </row>
    <row r="11" spans="1:4" ht="42.75" x14ac:dyDescent="0.2">
      <c r="B11" s="2" t="s">
        <v>113</v>
      </c>
    </row>
    <row r="15" spans="1:4" x14ac:dyDescent="0.2">
      <c r="A15" s="56" t="s">
        <v>115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E29"/>
  <sheetViews>
    <sheetView showGridLines="0" workbookViewId="0"/>
  </sheetViews>
  <sheetFormatPr defaultRowHeight="15" x14ac:dyDescent="0.25"/>
  <cols>
    <col min="3" max="3" width="41.28515625" customWidth="1"/>
    <col min="4" max="4" width="39.85546875" bestFit="1" customWidth="1"/>
    <col min="5" max="5" width="13.85546875" customWidth="1"/>
    <col min="6" max="6" width="13.85546875" bestFit="1" customWidth="1"/>
  </cols>
  <sheetData>
    <row r="1" spans="3:5" ht="22.5" customHeight="1" x14ac:dyDescent="0.25"/>
    <row r="2" spans="3:5" ht="26.25" x14ac:dyDescent="0.25">
      <c r="C2" s="62" t="s">
        <v>44</v>
      </c>
      <c r="D2" s="62"/>
      <c r="E2" s="62"/>
    </row>
    <row r="3" spans="3:5" ht="16.5" customHeight="1" x14ac:dyDescent="0.3">
      <c r="C3" s="23" t="s">
        <v>23</v>
      </c>
      <c r="D3" s="49"/>
      <c r="E3" s="49"/>
    </row>
    <row r="4" spans="3:5" ht="29.25" customHeight="1" x14ac:dyDescent="0.25">
      <c r="C4" s="57" t="s">
        <v>114</v>
      </c>
    </row>
    <row r="10" spans="3:5" x14ac:dyDescent="0.25">
      <c r="D10" s="3" t="s">
        <v>24</v>
      </c>
      <c r="E10" s="1" t="s">
        <v>0</v>
      </c>
    </row>
    <row r="11" spans="3:5" x14ac:dyDescent="0.25">
      <c r="D11" s="1"/>
      <c r="E11" s="1" t="s">
        <v>22</v>
      </c>
    </row>
    <row r="12" spans="3:5" x14ac:dyDescent="0.25">
      <c r="D12" s="4" t="s">
        <v>1</v>
      </c>
      <c r="E12" s="5">
        <v>900.56</v>
      </c>
    </row>
    <row r="13" spans="3:5" x14ac:dyDescent="0.25">
      <c r="D13" s="4" t="s">
        <v>2</v>
      </c>
      <c r="E13" s="5">
        <f>SUM(E14:E15)</f>
        <v>769.36300000000006</v>
      </c>
    </row>
    <row r="14" spans="3:5" x14ac:dyDescent="0.25">
      <c r="D14" s="6" t="s">
        <v>3</v>
      </c>
      <c r="E14" s="7">
        <v>710.452</v>
      </c>
    </row>
    <row r="15" spans="3:5" x14ac:dyDescent="0.25">
      <c r="D15" s="8" t="s">
        <v>4</v>
      </c>
      <c r="E15" s="9">
        <v>58.911000000000001</v>
      </c>
    </row>
    <row r="16" spans="3:5" ht="15.75" thickBot="1" x14ac:dyDescent="0.3">
      <c r="D16" s="10" t="s">
        <v>5</v>
      </c>
      <c r="E16" s="11">
        <f>E12-E13</f>
        <v>131.19699999999989</v>
      </c>
    </row>
    <row r="17" spans="4:5" ht="15.75" thickTop="1" x14ac:dyDescent="0.25">
      <c r="D17" s="12" t="s">
        <v>6</v>
      </c>
      <c r="E17" s="13">
        <v>15.923999999999999</v>
      </c>
    </row>
    <row r="18" spans="4:5" x14ac:dyDescent="0.25">
      <c r="D18" s="14" t="s">
        <v>7</v>
      </c>
      <c r="E18" s="15">
        <v>12.23</v>
      </c>
    </row>
    <row r="19" spans="4:5" ht="15.75" thickBot="1" x14ac:dyDescent="0.3">
      <c r="D19" s="16" t="s">
        <v>8</v>
      </c>
      <c r="E19" s="17">
        <f>E16-SUM(E17:E18)</f>
        <v>103.04299999999989</v>
      </c>
    </row>
    <row r="20" spans="4:5" ht="15.75" thickTop="1" x14ac:dyDescent="0.25">
      <c r="D20" s="12" t="s">
        <v>9</v>
      </c>
      <c r="E20" s="18">
        <f>500*0.06812</f>
        <v>34.06</v>
      </c>
    </row>
    <row r="21" spans="4:5" x14ac:dyDescent="0.25">
      <c r="D21" s="14" t="s">
        <v>10</v>
      </c>
      <c r="E21" s="19">
        <v>51.131000518798828</v>
      </c>
    </row>
    <row r="22" spans="4:5" ht="15.75" thickBot="1" x14ac:dyDescent="0.3">
      <c r="D22" s="10" t="s">
        <v>11</v>
      </c>
      <c r="E22" s="11">
        <f>E19-SUM(E20:E21)</f>
        <v>17.851999481201062</v>
      </c>
    </row>
    <row r="23" spans="4:5" ht="15.75" thickTop="1" x14ac:dyDescent="0.25">
      <c r="D23" s="20" t="s">
        <v>12</v>
      </c>
      <c r="E23" s="22">
        <f>E22*0.25</f>
        <v>4.4629998703002656</v>
      </c>
    </row>
    <row r="24" spans="4:5" ht="15.75" thickBot="1" x14ac:dyDescent="0.3">
      <c r="D24" s="10" t="s">
        <v>13</v>
      </c>
      <c r="E24" s="11">
        <f>E22-E23</f>
        <v>13.388999610900797</v>
      </c>
    </row>
    <row r="25" spans="4:5" ht="15.75" thickTop="1" x14ac:dyDescent="0.25">
      <c r="D25" s="1"/>
      <c r="E25" s="1"/>
    </row>
    <row r="26" spans="4:5" x14ac:dyDescent="0.25">
      <c r="D26" s="1" t="s">
        <v>21</v>
      </c>
      <c r="E26" s="21">
        <f>E24/E27</f>
        <v>0.13388999610900798</v>
      </c>
    </row>
    <row r="27" spans="4:5" x14ac:dyDescent="0.25">
      <c r="D27" s="1" t="s">
        <v>18</v>
      </c>
      <c r="E27" s="1">
        <v>100</v>
      </c>
    </row>
    <row r="28" spans="4:5" ht="12" customHeight="1" x14ac:dyDescent="0.25"/>
    <row r="29" spans="4:5" ht="7.5" customHeight="1" x14ac:dyDescent="0.25"/>
  </sheetData>
  <mergeCells count="1">
    <mergeCell ref="C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52"/>
  <sheetViews>
    <sheetView showGridLines="0" workbookViewId="0">
      <selection activeCell="B4" sqref="B4:D4"/>
    </sheetView>
  </sheetViews>
  <sheetFormatPr defaultRowHeight="12.75" x14ac:dyDescent="0.2"/>
  <cols>
    <col min="1" max="1" width="11.140625" style="26" customWidth="1"/>
    <col min="2" max="2" width="49.28515625" style="30" customWidth="1"/>
    <col min="3" max="3" width="71.5703125" style="26" customWidth="1"/>
    <col min="4" max="4" width="30.85546875" style="26" customWidth="1"/>
    <col min="5" max="8" width="9.140625" style="26"/>
    <col min="9" max="10" width="9.140625" style="27"/>
    <col min="11" max="16384" width="9.140625" style="26"/>
  </cols>
  <sheetData>
    <row r="1" spans="1:10" ht="15" x14ac:dyDescent="0.25">
      <c r="B1"/>
    </row>
    <row r="2" spans="1:10" ht="26.25" x14ac:dyDescent="0.2">
      <c r="B2" s="62" t="s">
        <v>44</v>
      </c>
      <c r="C2" s="62"/>
      <c r="D2" s="62"/>
    </row>
    <row r="3" spans="1:10" ht="36" customHeight="1" x14ac:dyDescent="0.2">
      <c r="B3" s="64" t="s">
        <v>121</v>
      </c>
      <c r="C3" s="64"/>
    </row>
    <row r="4" spans="1:10" ht="23.25" customHeight="1" x14ac:dyDescent="0.2">
      <c r="B4" s="63" t="s">
        <v>83</v>
      </c>
      <c r="C4" s="63"/>
      <c r="D4" s="63"/>
    </row>
    <row r="5" spans="1:10" ht="21.75" customHeight="1" x14ac:dyDescent="0.2">
      <c r="B5" s="45" t="s">
        <v>25</v>
      </c>
      <c r="C5" s="46" t="str">
        <f>'Data tables'!C4</f>
        <v>Outcome</v>
      </c>
      <c r="D5" s="46" t="str">
        <f>'Data tables'!D4</f>
        <v>Financial Implication</v>
      </c>
    </row>
    <row r="6" spans="1:10" ht="34.5" customHeight="1" x14ac:dyDescent="0.2">
      <c r="A6" s="60" t="s">
        <v>120</v>
      </c>
      <c r="B6" s="59" t="s">
        <v>46</v>
      </c>
      <c r="C6" s="30" t="str">
        <f>IFERROR(VLOOKUP(B6,'Data tables'!$B$5:$D$7,2,0),"")</f>
        <v>Loses out on additional sales to developed country clients with resonsible soyabean supply chain initiatives.</v>
      </c>
      <c r="D6" s="30" t="str">
        <f>IFERROR(VLOOKUP(B6,'Data tables'!$B$6:$D$7,3,0),"")</f>
        <v>No additional sales</v>
      </c>
      <c r="G6" s="26" t="str">
        <f>VLOOKUP(B6,'Data tables'!$B$4:$G$35,4,0)</f>
        <v>Sales</v>
      </c>
      <c r="H6" s="26">
        <f>VLOOKUP(B6,'Data tables'!$B$4:$G$35,6,0)</f>
        <v>0</v>
      </c>
    </row>
    <row r="7" spans="1:10" ht="15.75" x14ac:dyDescent="0.2">
      <c r="B7" s="45" t="s">
        <v>26</v>
      </c>
      <c r="G7" s="26">
        <f>VLOOKUP(B7,'Data tables'!$B$4:$G$35,4,0)</f>
        <v>0</v>
      </c>
      <c r="H7" s="26">
        <f>VLOOKUP(B7,'Data tables'!$B$4:$G$35,6,0)</f>
        <v>0</v>
      </c>
    </row>
    <row r="8" spans="1:10" ht="25.5" x14ac:dyDescent="0.2">
      <c r="B8" s="61" t="s">
        <v>91</v>
      </c>
      <c r="C8" s="30" t="str">
        <f>IFERROR(VLOOKUP(B8,'Data tables'!$B$9:$D$11,2,0),"")</f>
        <v xml:space="preserve">North American customers demand short term contracts with assurances that better land management practices will be implemented. </v>
      </c>
      <c r="D8" s="30" t="str">
        <f>IFERROR(VLOOKUP(B8,'Data tables'!$B$9:$D$11,3,0),"")</f>
        <v>Business risk levels rise and interest rates grow by 1.5%.</v>
      </c>
      <c r="G8" s="26" t="str">
        <f>VLOOKUP(B8,'Data tables'!$B$4:$G$35,4,0)</f>
        <v>Interest expense</v>
      </c>
      <c r="H8" s="26">
        <f>VLOOKUP(B8,'Data tables'!$B$4:$G$35,6,0)</f>
        <v>7.5</v>
      </c>
    </row>
    <row r="9" spans="1:10" ht="15.75" x14ac:dyDescent="0.2">
      <c r="B9" s="45" t="s">
        <v>27</v>
      </c>
      <c r="G9" s="26">
        <f>VLOOKUP(B9,'Data tables'!$B$4:$G$35,4,0)</f>
        <v>0</v>
      </c>
      <c r="H9" s="26">
        <f>VLOOKUP(B9,'Data tables'!$B$4:$G$35,6,0)</f>
        <v>0</v>
      </c>
    </row>
    <row r="10" spans="1:10" ht="38.25" customHeight="1" x14ac:dyDescent="0.2">
      <c r="B10" s="61" t="s">
        <v>98</v>
      </c>
      <c r="C10" s="28" t="str">
        <f>IFERROR(VLOOKUP(B10,'Data tables'!$B$13:$D$15,2,0),"")</f>
        <v>Diversifies power sources and reduces dependence on generators. The biofuels use also improve local air quality. Short term increase in capital expenditure, but IRR is just three years. Green loans are provided by the bank, with savings in first three years paid as interest.</v>
      </c>
      <c r="D10" s="28" t="str">
        <f>IFERROR(VLOOKUP(B10,'Data tables'!$B$13:$D$15,3,0),"")</f>
        <v>No short term costs or income, but after three years cost savings realised.</v>
      </c>
      <c r="G10" s="26" t="str">
        <f>VLOOKUP(B10,'Data tables'!$B$4:$G$35,4,0)</f>
        <v>COGS excluding D&amp;A</v>
      </c>
      <c r="H10" s="26">
        <f>VLOOKUP(B10,'Data tables'!$B$4:$G$35,6,0)</f>
        <v>0</v>
      </c>
    </row>
    <row r="11" spans="1:10" ht="15.75" x14ac:dyDescent="0.2">
      <c r="B11" s="45" t="s">
        <v>28</v>
      </c>
      <c r="G11" s="26">
        <f>VLOOKUP(B11,'Data tables'!$B$4:$G$35,4,0)</f>
        <v>0</v>
      </c>
      <c r="H11" s="26">
        <f>VLOOKUP(B11,'Data tables'!$B$4:$G$35,6,0)</f>
        <v>0</v>
      </c>
    </row>
    <row r="12" spans="1:10" ht="27.75" customHeight="1" x14ac:dyDescent="0.2">
      <c r="B12" s="61" t="s">
        <v>50</v>
      </c>
      <c r="C12" s="28" t="str">
        <f>IFERROR(VLOOKUP(B12,'Data tables'!$B$17:$D$19,2,0),"")</f>
        <v>Production falls 12%, but prices rise marginally in the market.</v>
      </c>
      <c r="D12" s="28" t="str">
        <f>IFERROR(VLOOKUP(B12,'Data tables'!$B$17:$D$19,3,0),"")</f>
        <v>Sales fall 10%</v>
      </c>
      <c r="G12" s="26" t="str">
        <f>VLOOKUP(B12,'Data tables'!$B$4:$G$35,4,0)</f>
        <v>Sales</v>
      </c>
      <c r="H12" s="26">
        <f>VLOOKUP(B12,'Data tables'!$B$4:$G$35,6,0)</f>
        <v>-90.055999999999997</v>
      </c>
    </row>
    <row r="13" spans="1:10" ht="15.75" x14ac:dyDescent="0.2">
      <c r="B13" s="45" t="s">
        <v>29</v>
      </c>
      <c r="G13" s="26">
        <f>VLOOKUP(B13,'Data tables'!$B$4:$G$35,4,0)</f>
        <v>0</v>
      </c>
      <c r="H13" s="26">
        <f>VLOOKUP(B13,'Data tables'!$B$4:$G$35,6,0)</f>
        <v>0</v>
      </c>
    </row>
    <row r="14" spans="1:10" ht="39" customHeight="1" x14ac:dyDescent="0.2">
      <c r="B14" s="61" t="s">
        <v>87</v>
      </c>
      <c r="C14" s="28" t="str">
        <f>IFERROR(VLOOKUP(B14,'Data tables'!$B$21:$D$23,2,0),"")</f>
        <v>Banks are seeking new soyabeen farming clients and offer reduced rates to attract business.</v>
      </c>
      <c r="D14" s="28" t="str">
        <f>IFERROR(VLOOKUP(B14,'Data tables'!$B$21:$D$23,3,0),"")</f>
        <v>Interest rates fall 0.25%</v>
      </c>
      <c r="G14" s="26" t="str">
        <f>VLOOKUP(B14,'Data tables'!$B$4:$G$35,4,0)</f>
        <v>Interest Expense</v>
      </c>
      <c r="H14" s="26">
        <f>VLOOKUP(B14,'Data tables'!$B$4:$G$35,6,0)</f>
        <v>-1.25</v>
      </c>
      <c r="I14" s="26"/>
      <c r="J14" s="26"/>
    </row>
    <row r="15" spans="1:10" ht="15.75" x14ac:dyDescent="0.2">
      <c r="B15" s="45" t="s">
        <v>30</v>
      </c>
      <c r="G15" s="26">
        <f>VLOOKUP(B15,'Data tables'!$B$4:$G$35,4,0)</f>
        <v>0</v>
      </c>
      <c r="H15" s="26">
        <f>VLOOKUP(B15,'Data tables'!$B$4:$G$35,6,0)</f>
        <v>0</v>
      </c>
      <c r="I15" s="26"/>
      <c r="J15" s="26"/>
    </row>
    <row r="16" spans="1:10" ht="25.5" x14ac:dyDescent="0.2">
      <c r="B16" s="61" t="s">
        <v>39</v>
      </c>
      <c r="C16" s="28" t="str">
        <f>IFERROR(VLOOKUP(B16,'Data tables'!$B$26:$D$27,2,0),"")</f>
        <v>European soy milk importer rejects pitch from US competitor  producer signs three year contract.</v>
      </c>
      <c r="D16" s="28" t="str">
        <f>IFERROR(VLOOKUP(B16,'Data tables'!$B$26:$D$27,3,0),"")</f>
        <v>Interest payments fall by 1% as risks are reduced.</v>
      </c>
      <c r="G16" s="26" t="str">
        <f>VLOOKUP(B16,'Data tables'!$B$4:$G$35,4,0)</f>
        <v>Interest Expense</v>
      </c>
      <c r="H16" s="26">
        <f>VLOOKUP(B16,'Data tables'!$B$4:$G$35,6,0)</f>
        <v>-5</v>
      </c>
      <c r="I16" s="26"/>
      <c r="J16" s="26"/>
    </row>
    <row r="17" spans="2:10" ht="15.75" x14ac:dyDescent="0.2">
      <c r="B17" s="45" t="s">
        <v>31</v>
      </c>
      <c r="G17" s="26">
        <f>VLOOKUP(B17,'Data tables'!$B$4:$G$35,4,0)</f>
        <v>0</v>
      </c>
      <c r="H17" s="26">
        <f>VLOOKUP(B17,'Data tables'!$B$4:$G$35,6,0)</f>
        <v>0</v>
      </c>
      <c r="I17" s="26"/>
      <c r="J17" s="26"/>
    </row>
    <row r="18" spans="2:10" ht="25.5" x14ac:dyDescent="0.2">
      <c r="B18" s="61" t="s">
        <v>48</v>
      </c>
      <c r="C18" s="30" t="str">
        <f>IFERROR(VLOOKUP(B18,'Data tables'!$B$29:$D$31,2,0),"")</f>
        <v>No additional operational cost</v>
      </c>
      <c r="D18" s="30" t="str">
        <f>IFERROR(VLOOKUP(B18,'Data tables'!$B$29:$D$31,3,0),"")</f>
        <v xml:space="preserve">Supply shortfall increases average price by 1% </v>
      </c>
      <c r="G18" s="26" t="str">
        <f>VLOOKUP(B18,'Data tables'!$B$4:$G$35,4,0)</f>
        <v>Sales</v>
      </c>
      <c r="H18" s="26">
        <f>VLOOKUP(B18,'Data tables'!$B$4:$G$35,6,0)</f>
        <v>9.0055999999999994</v>
      </c>
      <c r="I18" s="26"/>
      <c r="J18" s="26"/>
    </row>
    <row r="19" spans="2:10" ht="15.75" x14ac:dyDescent="0.2">
      <c r="B19" s="45" t="s">
        <v>32</v>
      </c>
      <c r="C19" s="27"/>
      <c r="G19" s="26">
        <f>VLOOKUP(B19,'Data tables'!$B$4:$G$35,4,0)</f>
        <v>0</v>
      </c>
      <c r="H19" s="26">
        <f>VLOOKUP(B19,'Data tables'!$B$4:$G$35,6,0)</f>
        <v>0</v>
      </c>
      <c r="I19" s="26"/>
      <c r="J19" s="26"/>
    </row>
    <row r="20" spans="2:10" ht="30.75" customHeight="1" x14ac:dyDescent="0.2">
      <c r="B20" s="61" t="s">
        <v>108</v>
      </c>
      <c r="C20" s="30" t="str">
        <f>IFERROR(VLOOKUP(B20,'Data tables'!$B$33:$D$35,2,0),"")</f>
        <v>Grant covers any losses from non-farmed hectares. Tree cover increases nitrogen and potassium in soil, while also improving soil water content.</v>
      </c>
      <c r="D20" s="30" t="str">
        <f>IFERROR(VLOOKUP(B20,'Data tables'!$B$33:$D$35,3,0),"")</f>
        <v>Yields increase 10%.</v>
      </c>
      <c r="G20" s="26" t="str">
        <f>VLOOKUP(B20,'Data tables'!$B$4:$G$35,4,0)</f>
        <v>Sales</v>
      </c>
      <c r="H20" s="26">
        <f>VLOOKUP(B20,'Data tables'!$B$4:$G$35,6,0)</f>
        <v>90.055999999999997</v>
      </c>
      <c r="I20" s="26"/>
      <c r="J20" s="26"/>
    </row>
    <row r="21" spans="2:10" x14ac:dyDescent="0.2">
      <c r="C21" s="27"/>
      <c r="I21" s="26"/>
      <c r="J21" s="26"/>
    </row>
    <row r="22" spans="2:10" x14ac:dyDescent="0.2">
      <c r="C22" s="27"/>
      <c r="I22" s="26"/>
      <c r="J22" s="26"/>
    </row>
    <row r="23" spans="2:10" x14ac:dyDescent="0.2">
      <c r="C23" s="27"/>
      <c r="I23" s="26"/>
      <c r="J23" s="26"/>
    </row>
    <row r="24" spans="2:10" x14ac:dyDescent="0.2">
      <c r="C24" s="27"/>
      <c r="I24" s="26"/>
      <c r="J24" s="26"/>
    </row>
    <row r="25" spans="2:10" x14ac:dyDescent="0.2">
      <c r="C25" s="27"/>
      <c r="I25" s="26"/>
      <c r="J25" s="26"/>
    </row>
    <row r="26" spans="2:10" x14ac:dyDescent="0.2">
      <c r="C26" s="27"/>
      <c r="I26" s="26"/>
      <c r="J26" s="26"/>
    </row>
    <row r="27" spans="2:10" x14ac:dyDescent="0.2">
      <c r="C27" s="27"/>
      <c r="J27" s="26"/>
    </row>
    <row r="28" spans="2:10" x14ac:dyDescent="0.2">
      <c r="C28" s="27"/>
    </row>
    <row r="29" spans="2:10" x14ac:dyDescent="0.2">
      <c r="C29" s="27"/>
    </row>
    <row r="30" spans="2:10" x14ac:dyDescent="0.2">
      <c r="C30" s="27"/>
    </row>
    <row r="31" spans="2:10" x14ac:dyDescent="0.2">
      <c r="C31" s="27"/>
    </row>
    <row r="32" spans="2:10" x14ac:dyDescent="0.2">
      <c r="C32" s="27"/>
    </row>
    <row r="33" spans="3:3" x14ac:dyDescent="0.2">
      <c r="C33" s="27"/>
    </row>
    <row r="34" spans="3:3" x14ac:dyDescent="0.2">
      <c r="C34" s="27"/>
    </row>
    <row r="35" spans="3:3" x14ac:dyDescent="0.2">
      <c r="C35" s="27"/>
    </row>
    <row r="36" spans="3:3" x14ac:dyDescent="0.2">
      <c r="C36" s="27"/>
    </row>
    <row r="37" spans="3:3" x14ac:dyDescent="0.2">
      <c r="C37" s="27"/>
    </row>
    <row r="38" spans="3:3" x14ac:dyDescent="0.2">
      <c r="C38" s="27"/>
    </row>
    <row r="39" spans="3:3" x14ac:dyDescent="0.2">
      <c r="C39" s="27"/>
    </row>
    <row r="40" spans="3:3" x14ac:dyDescent="0.2">
      <c r="C40" s="27"/>
    </row>
    <row r="41" spans="3:3" x14ac:dyDescent="0.2">
      <c r="C41" s="27"/>
    </row>
    <row r="42" spans="3:3" x14ac:dyDescent="0.2">
      <c r="C42" s="27"/>
    </row>
    <row r="43" spans="3:3" x14ac:dyDescent="0.2">
      <c r="C43" s="27"/>
    </row>
    <row r="44" spans="3:3" x14ac:dyDescent="0.2">
      <c r="C44" s="27"/>
    </row>
    <row r="45" spans="3:3" x14ac:dyDescent="0.2">
      <c r="C45" s="27"/>
    </row>
    <row r="46" spans="3:3" x14ac:dyDescent="0.2">
      <c r="C46" s="27"/>
    </row>
    <row r="47" spans="3:3" x14ac:dyDescent="0.2">
      <c r="C47" s="27"/>
    </row>
    <row r="48" spans="3:3" x14ac:dyDescent="0.2">
      <c r="C48" s="27"/>
    </row>
    <row r="49" spans="3:3" x14ac:dyDescent="0.2">
      <c r="C49" s="27"/>
    </row>
    <row r="50" spans="3:3" x14ac:dyDescent="0.2">
      <c r="C50" s="27"/>
    </row>
    <row r="51" spans="3:3" x14ac:dyDescent="0.2">
      <c r="C51" s="27"/>
    </row>
    <row r="52" spans="3:3" x14ac:dyDescent="0.2">
      <c r="C52" s="27"/>
    </row>
  </sheetData>
  <protectedRanges>
    <protectedRange sqref="B6 B8 B10 B12 B14 B16 B18 B20" name="Range1"/>
  </protectedRanges>
  <mergeCells count="3">
    <mergeCell ref="B4:D4"/>
    <mergeCell ref="B2:D2"/>
    <mergeCell ref="B3:C3"/>
  </mergeCell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'Data tables'!$B$5:$B$7</xm:f>
          </x14:formula1>
          <xm:sqref>B6</xm:sqref>
        </x14:dataValidation>
        <x14:dataValidation type="list" allowBlank="1" showInputMessage="1" showErrorMessage="1">
          <x14:formula1>
            <xm:f>'Data tables'!$B$25:$B$27</xm:f>
          </x14:formula1>
          <xm:sqref>B16</xm:sqref>
        </x14:dataValidation>
        <x14:dataValidation type="list" allowBlank="1" showInputMessage="1" showErrorMessage="1">
          <x14:formula1>
            <xm:f>'Data tables'!$B$9:$B$11</xm:f>
          </x14:formula1>
          <xm:sqref>B8</xm:sqref>
        </x14:dataValidation>
        <x14:dataValidation type="list" allowBlank="1" showInputMessage="1" showErrorMessage="1">
          <x14:formula1>
            <xm:f>'Data tables'!$B$21:$B$23</xm:f>
          </x14:formula1>
          <xm:sqref>B14</xm:sqref>
        </x14:dataValidation>
        <x14:dataValidation type="list" allowBlank="1" showInputMessage="1" showErrorMessage="1">
          <x14:formula1>
            <xm:f>'Data tables'!$B$29:$B$31</xm:f>
          </x14:formula1>
          <xm:sqref>B18</xm:sqref>
        </x14:dataValidation>
        <x14:dataValidation type="list" allowBlank="1" showInputMessage="1" showErrorMessage="1">
          <x14:formula1>
            <xm:f>'Data tables'!$B$17:$B$19</xm:f>
          </x14:formula1>
          <xm:sqref>B12</xm:sqref>
        </x14:dataValidation>
        <x14:dataValidation type="list" allowBlank="1" showInputMessage="1" showErrorMessage="1">
          <x14:formula1>
            <xm:f>'Data tables'!$B$13:$B$15</xm:f>
          </x14:formula1>
          <xm:sqref>B10</xm:sqref>
        </x14:dataValidation>
        <x14:dataValidation type="list" allowBlank="1" showInputMessage="1" showErrorMessage="1">
          <x14:formula1>
            <xm:f>'Data tables'!$B$33:$B$35</xm:f>
          </x14:formula1>
          <xm:sqref>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G35"/>
  <sheetViews>
    <sheetView topLeftCell="A16" workbookViewId="0">
      <selection activeCell="A22" sqref="A22"/>
    </sheetView>
  </sheetViews>
  <sheetFormatPr defaultRowHeight="12.75" x14ac:dyDescent="0.2"/>
  <cols>
    <col min="1" max="1" width="9.140625" style="26"/>
    <col min="2" max="2" width="39" style="29" customWidth="1"/>
    <col min="3" max="3" width="59.140625" style="29" customWidth="1"/>
    <col min="4" max="5" width="30.85546875" style="29" customWidth="1"/>
    <col min="6" max="6" width="20.42578125" style="26" customWidth="1"/>
    <col min="7" max="7" width="17.5703125" style="26" customWidth="1"/>
    <col min="8" max="16384" width="9.140625" style="26"/>
  </cols>
  <sheetData>
    <row r="4" spans="2:7" x14ac:dyDescent="0.2">
      <c r="B4" s="33" t="s">
        <v>25</v>
      </c>
      <c r="C4" s="33" t="s">
        <v>33</v>
      </c>
      <c r="D4" s="33" t="s">
        <v>34</v>
      </c>
      <c r="E4" s="33"/>
      <c r="F4" s="33" t="s">
        <v>35</v>
      </c>
      <c r="G4" s="31" t="s">
        <v>111</v>
      </c>
    </row>
    <row r="5" spans="2:7" ht="33" customHeight="1" x14ac:dyDescent="0.2">
      <c r="C5" s="30"/>
      <c r="D5" s="30"/>
      <c r="E5" s="30"/>
      <c r="F5" s="32"/>
    </row>
    <row r="6" spans="2:7" ht="34.5" customHeight="1" x14ac:dyDescent="0.2">
      <c r="B6" s="29" t="s">
        <v>42</v>
      </c>
      <c r="C6" s="30" t="s">
        <v>40</v>
      </c>
      <c r="D6" s="30" t="s">
        <v>41</v>
      </c>
      <c r="E6" s="30" t="s">
        <v>1</v>
      </c>
      <c r="F6" s="32">
        <v>0.02</v>
      </c>
      <c r="G6" s="26">
        <f>VLOOKUP(E6,'Natural Capital Indicators'!$D$12:$E$24,2,0)*F6</f>
        <v>18.011199999999999</v>
      </c>
    </row>
    <row r="7" spans="2:7" ht="34.5" customHeight="1" x14ac:dyDescent="0.2">
      <c r="B7" s="29" t="s">
        <v>46</v>
      </c>
      <c r="C7" s="30" t="s">
        <v>47</v>
      </c>
      <c r="D7" s="30" t="s">
        <v>20</v>
      </c>
      <c r="E7" s="30" t="s">
        <v>1</v>
      </c>
      <c r="F7" s="32">
        <v>0</v>
      </c>
      <c r="G7" s="26">
        <f>VLOOKUP(E7,'Natural Capital Indicators'!$D$12:$E$24,2,0)*F7</f>
        <v>0</v>
      </c>
    </row>
    <row r="8" spans="2:7" x14ac:dyDescent="0.2">
      <c r="B8" s="33" t="s">
        <v>26</v>
      </c>
    </row>
    <row r="10" spans="2:7" ht="43.5" customHeight="1" x14ac:dyDescent="0.2">
      <c r="B10" s="30" t="s">
        <v>91</v>
      </c>
      <c r="C10" s="30" t="s">
        <v>92</v>
      </c>
      <c r="D10" s="30" t="s">
        <v>93</v>
      </c>
      <c r="E10" s="30" t="s">
        <v>110</v>
      </c>
      <c r="F10" s="47">
        <v>1.4999999999999999E-2</v>
      </c>
      <c r="G10" s="26">
        <f>500*F10</f>
        <v>7.5</v>
      </c>
    </row>
    <row r="11" spans="2:7" ht="63.75" x14ac:dyDescent="0.2">
      <c r="B11" s="30" t="s">
        <v>94</v>
      </c>
      <c r="C11" s="30" t="s">
        <v>95</v>
      </c>
      <c r="D11" s="30" t="s">
        <v>96</v>
      </c>
      <c r="E11" s="30" t="s">
        <v>1</v>
      </c>
      <c r="F11" s="32">
        <v>0</v>
      </c>
      <c r="G11" s="26">
        <f>VLOOKUP(E11,'Natural Capital Indicators'!$D$12:$E$24,2,0)*F11</f>
        <v>0</v>
      </c>
    </row>
    <row r="12" spans="2:7" x14ac:dyDescent="0.2">
      <c r="B12" s="33" t="s">
        <v>27</v>
      </c>
    </row>
    <row r="13" spans="2:7" x14ac:dyDescent="0.2">
      <c r="B13" s="33"/>
    </row>
    <row r="14" spans="2:7" ht="51" customHeight="1" x14ac:dyDescent="0.2">
      <c r="B14" s="30" t="s">
        <v>98</v>
      </c>
      <c r="C14" s="30" t="s">
        <v>100</v>
      </c>
      <c r="D14" s="30" t="s">
        <v>99</v>
      </c>
      <c r="E14" s="30" t="s">
        <v>3</v>
      </c>
      <c r="F14" s="32">
        <v>0</v>
      </c>
      <c r="G14" s="26">
        <f>VLOOKUP(E14,'Natural Capital Indicators'!$D$12:$E$24,2,0)*F14</f>
        <v>0</v>
      </c>
    </row>
    <row r="15" spans="2:7" ht="38.25" x14ac:dyDescent="0.2">
      <c r="B15" s="30" t="s">
        <v>105</v>
      </c>
      <c r="C15" s="30" t="s">
        <v>101</v>
      </c>
      <c r="D15" s="30" t="s">
        <v>102</v>
      </c>
      <c r="E15" s="30" t="s">
        <v>3</v>
      </c>
      <c r="F15" s="32">
        <v>0</v>
      </c>
      <c r="G15" s="26">
        <f>VLOOKUP(E15,'Natural Capital Indicators'!$D$12:$E$24,2,0)*F15</f>
        <v>0</v>
      </c>
    </row>
    <row r="16" spans="2:7" x14ac:dyDescent="0.2">
      <c r="B16" s="33" t="s">
        <v>28</v>
      </c>
    </row>
    <row r="17" spans="2:7" ht="25.5" customHeight="1" x14ac:dyDescent="0.2"/>
    <row r="18" spans="2:7" ht="24.75" customHeight="1" x14ac:dyDescent="0.2">
      <c r="B18" s="29" t="s">
        <v>50</v>
      </c>
      <c r="C18" s="29" t="s">
        <v>52</v>
      </c>
      <c r="D18" s="29" t="s">
        <v>53</v>
      </c>
      <c r="E18" s="29" t="s">
        <v>1</v>
      </c>
      <c r="F18" s="32">
        <v>-0.1</v>
      </c>
      <c r="G18" s="26">
        <f>VLOOKUP(E18,'Natural Capital Indicators'!$D$12:$E$24,2,0)*F18</f>
        <v>-90.055999999999997</v>
      </c>
    </row>
    <row r="19" spans="2:7" ht="24.75" customHeight="1" x14ac:dyDescent="0.2">
      <c r="B19" s="30" t="s">
        <v>51</v>
      </c>
      <c r="C19" s="29" t="s">
        <v>54</v>
      </c>
      <c r="D19" s="29" t="s">
        <v>55</v>
      </c>
      <c r="E19" s="29" t="s">
        <v>1</v>
      </c>
      <c r="F19" s="32">
        <v>-0.03</v>
      </c>
      <c r="G19" s="26">
        <f>VLOOKUP(E19,'Natural Capital Indicators'!$D$12:$E$24,2,0)*F19</f>
        <v>-27.016799999999996</v>
      </c>
    </row>
    <row r="20" spans="2:7" x14ac:dyDescent="0.2">
      <c r="B20" s="33" t="s">
        <v>29</v>
      </c>
    </row>
    <row r="22" spans="2:7" ht="27" customHeight="1" x14ac:dyDescent="0.2">
      <c r="B22" s="30" t="s">
        <v>84</v>
      </c>
      <c r="C22" s="30" t="s">
        <v>85</v>
      </c>
      <c r="D22" s="29" t="s">
        <v>86</v>
      </c>
      <c r="E22" s="29" t="s">
        <v>7</v>
      </c>
      <c r="F22" s="48">
        <v>10</v>
      </c>
      <c r="G22" s="53">
        <f>F22</f>
        <v>10</v>
      </c>
    </row>
    <row r="23" spans="2:7" ht="38.25" x14ac:dyDescent="0.2">
      <c r="B23" s="30" t="s">
        <v>87</v>
      </c>
      <c r="C23" s="30" t="s">
        <v>88</v>
      </c>
      <c r="D23" s="29" t="s">
        <v>89</v>
      </c>
      <c r="E23" s="29" t="s">
        <v>9</v>
      </c>
      <c r="F23" s="47">
        <v>-2.5000000000000001E-3</v>
      </c>
      <c r="G23" s="26">
        <f>500*F23</f>
        <v>-1.25</v>
      </c>
    </row>
    <row r="24" spans="2:7" x14ac:dyDescent="0.2">
      <c r="B24" s="33" t="s">
        <v>30</v>
      </c>
    </row>
    <row r="25" spans="2:7" x14ac:dyDescent="0.2">
      <c r="F25" s="29"/>
    </row>
    <row r="26" spans="2:7" ht="25.5" x14ac:dyDescent="0.2">
      <c r="B26" s="29" t="s">
        <v>39</v>
      </c>
      <c r="C26" s="30" t="s">
        <v>36</v>
      </c>
      <c r="D26" s="30" t="s">
        <v>38</v>
      </c>
      <c r="E26" s="29" t="s">
        <v>9</v>
      </c>
      <c r="F26" s="32">
        <v>-0.01</v>
      </c>
      <c r="G26" s="26">
        <f>500*F26</f>
        <v>-5</v>
      </c>
    </row>
    <row r="27" spans="2:7" ht="25.5" x14ac:dyDescent="0.2">
      <c r="B27" s="29" t="s">
        <v>45</v>
      </c>
      <c r="C27" s="30" t="s">
        <v>97</v>
      </c>
      <c r="D27" s="30" t="s">
        <v>37</v>
      </c>
      <c r="E27" s="30" t="s">
        <v>1</v>
      </c>
      <c r="F27" s="32">
        <v>-0.1</v>
      </c>
      <c r="G27" s="26">
        <f>VLOOKUP(E27,'Natural Capital Indicators'!$D$12:$E$24,2,0)*F27</f>
        <v>-90.055999999999997</v>
      </c>
    </row>
    <row r="28" spans="2:7" x14ac:dyDescent="0.2">
      <c r="B28" s="33" t="s">
        <v>31</v>
      </c>
    </row>
    <row r="29" spans="2:7" x14ac:dyDescent="0.2">
      <c r="B29" s="30"/>
    </row>
    <row r="30" spans="2:7" ht="25.5" x14ac:dyDescent="0.2">
      <c r="B30" s="30" t="s">
        <v>81</v>
      </c>
      <c r="C30" s="29" t="s">
        <v>82</v>
      </c>
      <c r="D30" s="29" t="s">
        <v>56</v>
      </c>
      <c r="E30" s="30" t="s">
        <v>3</v>
      </c>
      <c r="F30" s="32">
        <v>0.4</v>
      </c>
      <c r="G30" s="54">
        <f>VLOOKUP(E30,'Natural Capital Indicators'!$D$12:$E$24,2,0)*F30*'Cost breakdown - soybean produc'!C25</f>
        <v>21.712943151227243</v>
      </c>
    </row>
    <row r="31" spans="2:7" ht="25.5" x14ac:dyDescent="0.2">
      <c r="B31" s="29" t="s">
        <v>48</v>
      </c>
      <c r="C31" s="29" t="s">
        <v>49</v>
      </c>
      <c r="D31" s="30" t="s">
        <v>90</v>
      </c>
      <c r="E31" s="30" t="s">
        <v>1</v>
      </c>
      <c r="F31" s="32">
        <v>0.01</v>
      </c>
      <c r="G31" s="26">
        <f>VLOOKUP(E31,'Natural Capital Indicators'!$D$12:$E$24,2,0)*F31</f>
        <v>9.0055999999999994</v>
      </c>
    </row>
    <row r="32" spans="2:7" x14ac:dyDescent="0.2">
      <c r="B32" s="33" t="s">
        <v>32</v>
      </c>
    </row>
    <row r="34" spans="2:7" ht="38.25" customHeight="1" x14ac:dyDescent="0.2">
      <c r="B34" s="30" t="s">
        <v>108</v>
      </c>
      <c r="C34" s="30" t="s">
        <v>103</v>
      </c>
      <c r="D34" s="30" t="s">
        <v>104</v>
      </c>
      <c r="E34" s="30" t="s">
        <v>1</v>
      </c>
      <c r="F34" s="32">
        <v>0.1</v>
      </c>
      <c r="G34" s="26">
        <f>VLOOKUP(E34,'Natural Capital Indicators'!$D$12:$E$24,2,0)*F34</f>
        <v>90.055999999999997</v>
      </c>
    </row>
    <row r="35" spans="2:7" ht="30" customHeight="1" x14ac:dyDescent="0.2">
      <c r="B35" s="30" t="s">
        <v>109</v>
      </c>
      <c r="C35" s="30" t="s">
        <v>106</v>
      </c>
      <c r="D35" s="29" t="s">
        <v>107</v>
      </c>
      <c r="E35" s="29" t="s">
        <v>1</v>
      </c>
      <c r="F35" s="32">
        <v>-0.05</v>
      </c>
      <c r="G35" s="26">
        <f>VLOOKUP(E35,'Natural Capital Indicators'!$D$12:$E$24,2,0)*F35</f>
        <v>-45.027999999999999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O32"/>
  <sheetViews>
    <sheetView workbookViewId="0"/>
  </sheetViews>
  <sheetFormatPr defaultRowHeight="15" x14ac:dyDescent="0.25"/>
  <cols>
    <col min="1" max="1" width="19.5703125" bestFit="1" customWidth="1"/>
    <col min="2" max="2" width="33.140625" bestFit="1" customWidth="1"/>
    <col min="3" max="3" width="12.42578125" customWidth="1"/>
  </cols>
  <sheetData>
    <row r="2" spans="1:15" x14ac:dyDescent="0.25">
      <c r="A2" t="s">
        <v>61</v>
      </c>
      <c r="B2" t="s">
        <v>70</v>
      </c>
      <c r="C2">
        <v>11.16</v>
      </c>
      <c r="D2" s="35">
        <f>C2/SUM($C$2:$C$19)</f>
        <v>7.3634204275534451E-2</v>
      </c>
      <c r="H2" s="38"/>
      <c r="I2" s="38"/>
      <c r="J2" s="38"/>
      <c r="K2" s="38"/>
      <c r="L2" s="38"/>
      <c r="M2" s="38"/>
      <c r="N2" s="38"/>
      <c r="O2" s="38"/>
    </row>
    <row r="3" spans="1:15" x14ac:dyDescent="0.25">
      <c r="A3" t="s">
        <v>61</v>
      </c>
      <c r="B3" t="s">
        <v>71</v>
      </c>
      <c r="C3">
        <v>11.58</v>
      </c>
      <c r="D3" s="35">
        <f t="shared" ref="D3:D19" si="0">C3/SUM($C$2:$C$19)</f>
        <v>7.6405384006334134E-2</v>
      </c>
      <c r="H3" s="38"/>
      <c r="I3" s="38"/>
      <c r="J3" s="38"/>
      <c r="K3" s="38"/>
      <c r="L3" s="38"/>
      <c r="M3" s="38"/>
      <c r="N3" s="38"/>
      <c r="O3" s="38"/>
    </row>
    <row r="4" spans="1:15" x14ac:dyDescent="0.25">
      <c r="A4" t="s">
        <v>61</v>
      </c>
      <c r="B4" t="s">
        <v>72</v>
      </c>
      <c r="C4">
        <v>12.5</v>
      </c>
      <c r="D4" s="35">
        <f t="shared" si="0"/>
        <v>8.2475587226181063E-2</v>
      </c>
      <c r="H4" s="38"/>
      <c r="I4" s="38"/>
      <c r="J4" s="38"/>
      <c r="K4" s="38"/>
      <c r="L4" s="38"/>
      <c r="M4" s="38"/>
      <c r="N4" s="38"/>
      <c r="O4" s="38"/>
    </row>
    <row r="5" spans="1:15" x14ac:dyDescent="0.25">
      <c r="A5" t="s">
        <v>61</v>
      </c>
      <c r="B5" t="s">
        <v>73</v>
      </c>
      <c r="C5">
        <v>1.57</v>
      </c>
      <c r="D5" s="35">
        <f t="shared" si="0"/>
        <v>1.0358933755608342E-2</v>
      </c>
      <c r="H5" s="38"/>
      <c r="I5" s="38"/>
      <c r="J5" s="38"/>
      <c r="K5" s="38"/>
      <c r="L5" s="38"/>
      <c r="M5" s="38"/>
      <c r="N5" s="38"/>
      <c r="O5" s="38"/>
    </row>
    <row r="6" spans="1:15" x14ac:dyDescent="0.25">
      <c r="A6" t="s">
        <v>61</v>
      </c>
      <c r="B6" t="s">
        <v>74</v>
      </c>
      <c r="C6">
        <v>5.42</v>
      </c>
      <c r="D6" s="35">
        <f t="shared" si="0"/>
        <v>3.5761414621272108E-2</v>
      </c>
      <c r="H6" s="38"/>
      <c r="I6" s="39"/>
      <c r="J6" s="38"/>
      <c r="K6" s="38"/>
      <c r="L6" s="38"/>
      <c r="M6" s="38"/>
      <c r="N6" s="38"/>
      <c r="O6" s="38"/>
    </row>
    <row r="7" spans="1:15" x14ac:dyDescent="0.25">
      <c r="A7" t="s">
        <v>76</v>
      </c>
      <c r="B7" t="s">
        <v>63</v>
      </c>
      <c r="C7" s="34">
        <v>6.7</v>
      </c>
      <c r="D7" s="35">
        <f t="shared" si="0"/>
        <v>4.4206914753233052E-2</v>
      </c>
      <c r="H7" s="38"/>
      <c r="I7" s="38"/>
      <c r="J7" s="38"/>
      <c r="K7" s="38"/>
      <c r="L7" s="38"/>
      <c r="M7" s="38"/>
      <c r="N7" s="38"/>
      <c r="O7" s="38"/>
    </row>
    <row r="8" spans="1:15" x14ac:dyDescent="0.25">
      <c r="A8" t="s">
        <v>76</v>
      </c>
      <c r="B8" t="s">
        <v>57</v>
      </c>
      <c r="C8" s="34">
        <v>10.55</v>
      </c>
      <c r="D8" s="35">
        <f t="shared" si="0"/>
        <v>6.9609395618896827E-2</v>
      </c>
      <c r="H8" s="38"/>
      <c r="I8" s="38"/>
      <c r="J8" s="38"/>
      <c r="K8" s="38"/>
      <c r="L8" s="38"/>
      <c r="M8" s="38"/>
      <c r="N8" s="38"/>
      <c r="O8" s="38"/>
    </row>
    <row r="9" spans="1:15" x14ac:dyDescent="0.25">
      <c r="A9" t="s">
        <v>76</v>
      </c>
      <c r="B9" t="s">
        <v>64</v>
      </c>
      <c r="C9" s="34">
        <v>7.95</v>
      </c>
      <c r="D9" s="35">
        <f t="shared" si="0"/>
        <v>5.2454473475851159E-2</v>
      </c>
      <c r="H9" s="38"/>
      <c r="I9" s="38"/>
      <c r="J9" s="38"/>
      <c r="K9" s="38"/>
      <c r="L9" s="38"/>
      <c r="M9" s="38"/>
      <c r="N9" s="38"/>
      <c r="O9" s="38"/>
    </row>
    <row r="10" spans="1:15" x14ac:dyDescent="0.25">
      <c r="A10" t="s">
        <v>76</v>
      </c>
      <c r="B10" t="s">
        <v>65</v>
      </c>
      <c r="C10" s="34">
        <v>7.85</v>
      </c>
      <c r="D10" s="35">
        <f t="shared" si="0"/>
        <v>5.1794668778041709E-2</v>
      </c>
      <c r="H10" s="38"/>
      <c r="I10" s="38"/>
      <c r="J10" s="38"/>
      <c r="K10" s="38"/>
      <c r="L10" s="38"/>
      <c r="M10" s="38"/>
      <c r="N10" s="38"/>
      <c r="O10" s="38"/>
    </row>
    <row r="11" spans="1:15" x14ac:dyDescent="0.25">
      <c r="A11" t="s">
        <v>76</v>
      </c>
      <c r="B11" t="s">
        <v>66</v>
      </c>
      <c r="C11" s="34">
        <v>11.35</v>
      </c>
      <c r="D11" s="35">
        <f t="shared" si="0"/>
        <v>7.4887833201372406E-2</v>
      </c>
      <c r="H11" s="38"/>
      <c r="I11" s="39"/>
      <c r="J11" s="38"/>
      <c r="K11" s="38"/>
      <c r="L11" s="38"/>
      <c r="M11" s="38"/>
      <c r="N11" s="38"/>
      <c r="O11" s="38"/>
    </row>
    <row r="12" spans="1:15" x14ac:dyDescent="0.25">
      <c r="A12" t="s">
        <v>76</v>
      </c>
      <c r="B12" t="s">
        <v>67</v>
      </c>
      <c r="C12" s="34">
        <v>6.65</v>
      </c>
      <c r="D12" s="35">
        <f t="shared" si="0"/>
        <v>4.3877012404328328E-2</v>
      </c>
      <c r="H12" s="38"/>
      <c r="I12" s="38"/>
      <c r="J12" s="38"/>
      <c r="K12" s="38"/>
      <c r="L12" s="38"/>
      <c r="M12" s="38"/>
      <c r="N12" s="38"/>
      <c r="O12" s="38"/>
    </row>
    <row r="13" spans="1:15" x14ac:dyDescent="0.25">
      <c r="A13" t="s">
        <v>76</v>
      </c>
      <c r="B13" t="s">
        <v>58</v>
      </c>
      <c r="C13" s="34">
        <v>4.5999999999999996</v>
      </c>
      <c r="D13" s="35">
        <f t="shared" si="0"/>
        <v>3.0351016099234629E-2</v>
      </c>
      <c r="H13" s="38"/>
      <c r="I13" s="38"/>
      <c r="J13" s="38"/>
      <c r="K13" s="38"/>
      <c r="L13" s="38"/>
      <c r="M13" s="38"/>
      <c r="N13" s="38"/>
      <c r="O13" s="38"/>
    </row>
    <row r="14" spans="1:15" x14ac:dyDescent="0.25">
      <c r="A14" t="s">
        <v>76</v>
      </c>
      <c r="B14" t="s">
        <v>68</v>
      </c>
      <c r="C14" s="34">
        <v>23.65</v>
      </c>
      <c r="D14" s="35">
        <f t="shared" si="0"/>
        <v>0.15604381103193457</v>
      </c>
      <c r="H14" s="38"/>
      <c r="I14" s="38"/>
      <c r="J14" s="38"/>
      <c r="K14" s="38"/>
      <c r="L14" s="38"/>
      <c r="M14" s="38"/>
      <c r="N14" s="38"/>
      <c r="O14" s="38"/>
    </row>
    <row r="15" spans="1:15" x14ac:dyDescent="0.25">
      <c r="A15" t="s">
        <v>76</v>
      </c>
      <c r="B15" t="s">
        <v>59</v>
      </c>
      <c r="C15" s="34">
        <v>4.05</v>
      </c>
      <c r="D15" s="35">
        <f t="shared" si="0"/>
        <v>2.6722090261282663E-2</v>
      </c>
      <c r="H15" s="38"/>
      <c r="I15" s="38"/>
      <c r="J15" s="38"/>
      <c r="K15" s="38"/>
      <c r="L15" s="38"/>
      <c r="M15" s="38"/>
      <c r="N15" s="38"/>
      <c r="O15" s="38"/>
    </row>
    <row r="16" spans="1:15" x14ac:dyDescent="0.25">
      <c r="A16" t="s">
        <v>76</v>
      </c>
      <c r="B16" t="s">
        <v>69</v>
      </c>
      <c r="C16" s="34">
        <v>4.5</v>
      </c>
      <c r="D16" s="35">
        <f t="shared" si="0"/>
        <v>2.9691211401425183E-2</v>
      </c>
      <c r="H16" s="38"/>
      <c r="I16" s="38"/>
      <c r="J16" s="38"/>
      <c r="K16" s="38"/>
      <c r="L16" s="38"/>
      <c r="M16" s="38"/>
      <c r="N16" s="38"/>
      <c r="O16" s="38"/>
    </row>
    <row r="17" spans="1:15" x14ac:dyDescent="0.25">
      <c r="A17" t="s">
        <v>76</v>
      </c>
      <c r="B17" t="s">
        <v>60</v>
      </c>
      <c r="C17" s="34">
        <v>10</v>
      </c>
      <c r="D17" s="35">
        <f t="shared" si="0"/>
        <v>6.598046978094485E-2</v>
      </c>
      <c r="H17" s="38"/>
      <c r="I17" s="38"/>
      <c r="J17" s="38"/>
      <c r="K17" s="38"/>
      <c r="L17" s="38"/>
      <c r="M17" s="38"/>
      <c r="N17" s="38"/>
      <c r="O17" s="38"/>
    </row>
    <row r="18" spans="1:15" x14ac:dyDescent="0.25">
      <c r="A18" t="s">
        <v>75</v>
      </c>
      <c r="B18" t="s">
        <v>75</v>
      </c>
      <c r="C18">
        <v>2.7</v>
      </c>
      <c r="D18" s="35">
        <f t="shared" si="0"/>
        <v>1.7814726840855111E-2</v>
      </c>
      <c r="H18" s="38"/>
      <c r="I18" s="38"/>
      <c r="J18" s="38"/>
      <c r="K18" s="38"/>
      <c r="L18" s="38"/>
      <c r="M18" s="38"/>
      <c r="N18" s="38"/>
      <c r="O18" s="38"/>
    </row>
    <row r="19" spans="1:15" x14ac:dyDescent="0.25">
      <c r="A19" t="s">
        <v>77</v>
      </c>
      <c r="B19" t="s">
        <v>62</v>
      </c>
      <c r="C19">
        <v>8.7799999999999994</v>
      </c>
      <c r="D19" s="35">
        <f t="shared" si="0"/>
        <v>5.7930852467669575E-2</v>
      </c>
    </row>
    <row r="21" spans="1:15" x14ac:dyDescent="0.25">
      <c r="C21" s="24"/>
      <c r="D21" s="24"/>
      <c r="E21" s="24"/>
    </row>
    <row r="22" spans="1:15" ht="15.75" thickBot="1" x14ac:dyDescent="0.3">
      <c r="B22" t="s">
        <v>80</v>
      </c>
      <c r="C22" s="34"/>
    </row>
    <row r="23" spans="1:15" x14ac:dyDescent="0.25">
      <c r="B23" s="36" t="s">
        <v>78</v>
      </c>
      <c r="C23" s="40" t="s">
        <v>79</v>
      </c>
    </row>
    <row r="24" spans="1:15" x14ac:dyDescent="0.25">
      <c r="B24" s="41" t="s">
        <v>70</v>
      </c>
      <c r="C24" s="42">
        <v>7.3634204275534451E-2</v>
      </c>
      <c r="G24" s="38"/>
      <c r="H24" s="50"/>
    </row>
    <row r="25" spans="1:15" x14ac:dyDescent="0.25">
      <c r="B25" s="41" t="s">
        <v>71</v>
      </c>
      <c r="C25" s="42">
        <v>7.6405384006334134E-2</v>
      </c>
      <c r="G25" s="38"/>
      <c r="H25" s="51"/>
    </row>
    <row r="26" spans="1:15" x14ac:dyDescent="0.25">
      <c r="B26" s="41" t="s">
        <v>72</v>
      </c>
      <c r="C26" s="42">
        <v>8.2475587226181063E-2</v>
      </c>
      <c r="G26" s="38"/>
      <c r="H26" s="51"/>
    </row>
    <row r="27" spans="1:15" x14ac:dyDescent="0.25">
      <c r="B27" s="41" t="s">
        <v>73</v>
      </c>
      <c r="C27" s="42">
        <v>1.0358933755608342E-2</v>
      </c>
      <c r="G27" s="38"/>
      <c r="H27" s="51"/>
    </row>
    <row r="28" spans="1:15" x14ac:dyDescent="0.25">
      <c r="B28" s="41" t="s">
        <v>74</v>
      </c>
      <c r="C28" s="42">
        <v>3.5761414621272108E-2</v>
      </c>
      <c r="G28" s="38"/>
      <c r="H28" s="51"/>
    </row>
    <row r="29" spans="1:15" x14ac:dyDescent="0.25">
      <c r="B29" s="41" t="s">
        <v>76</v>
      </c>
      <c r="C29" s="42">
        <v>0.64561889680654538</v>
      </c>
      <c r="G29" s="38"/>
      <c r="H29" s="51"/>
    </row>
    <row r="30" spans="1:15" x14ac:dyDescent="0.25">
      <c r="B30" s="41" t="s">
        <v>75</v>
      </c>
      <c r="C30" s="43">
        <v>1.7814726840855111E-2</v>
      </c>
      <c r="G30" s="38"/>
      <c r="H30" s="51"/>
    </row>
    <row r="31" spans="1:15" ht="15.75" thickBot="1" x14ac:dyDescent="0.3">
      <c r="B31" s="37" t="s">
        <v>77</v>
      </c>
      <c r="C31" s="44">
        <v>5.7930852467669575E-2</v>
      </c>
      <c r="G31" s="38"/>
      <c r="H31" s="52"/>
    </row>
    <row r="32" spans="1:15" x14ac:dyDescent="0.25">
      <c r="G32" s="38"/>
      <c r="H32" s="5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33"/>
  <sheetViews>
    <sheetView showGridLines="0" topLeftCell="A18" workbookViewId="0">
      <selection activeCell="F14" sqref="F14"/>
    </sheetView>
  </sheetViews>
  <sheetFormatPr defaultRowHeight="14.25" x14ac:dyDescent="0.2"/>
  <cols>
    <col min="1" max="1" width="12.5703125" style="1" customWidth="1"/>
    <col min="2" max="2" width="39.85546875" style="1" bestFit="1" customWidth="1"/>
    <col min="3" max="3" width="13.85546875" style="1" bestFit="1" customWidth="1"/>
    <col min="4" max="4" width="9.140625" style="1"/>
    <col min="5" max="5" width="11.5703125" style="1" customWidth="1"/>
    <col min="6" max="6" width="9.140625" style="1"/>
    <col min="7" max="7" width="44.28515625" style="1" bestFit="1" customWidth="1"/>
    <col min="8" max="8" width="13.85546875" style="1" bestFit="1" customWidth="1"/>
    <col min="9" max="16384" width="9.140625" style="1"/>
  </cols>
  <sheetData>
    <row r="2" spans="2:10" ht="8.25" customHeight="1" x14ac:dyDescent="0.25">
      <c r="B2"/>
      <c r="C2"/>
      <c r="D2"/>
      <c r="E2"/>
      <c r="F2"/>
      <c r="G2"/>
      <c r="H2"/>
      <c r="I2"/>
      <c r="J2"/>
    </row>
    <row r="3" spans="2:10" ht="26.25" x14ac:dyDescent="0.25">
      <c r="B3" s="62" t="s">
        <v>44</v>
      </c>
      <c r="C3" s="62"/>
      <c r="D3" s="62"/>
      <c r="E3" s="62"/>
      <c r="F3" s="62"/>
      <c r="G3" s="62"/>
      <c r="H3"/>
      <c r="I3"/>
      <c r="J3"/>
    </row>
    <row r="5" spans="2:10" ht="15" x14ac:dyDescent="0.25">
      <c r="B5" s="3" t="s">
        <v>16</v>
      </c>
      <c r="C5" s="1" t="s">
        <v>0</v>
      </c>
      <c r="G5" s="3" t="s">
        <v>17</v>
      </c>
      <c r="H5" s="1" t="s">
        <v>0</v>
      </c>
    </row>
    <row r="6" spans="2:10" x14ac:dyDescent="0.2">
      <c r="C6" s="1" t="s">
        <v>19</v>
      </c>
      <c r="H6" s="1" t="s">
        <v>19</v>
      </c>
    </row>
    <row r="7" spans="2:10" ht="15" x14ac:dyDescent="0.25">
      <c r="B7" s="4" t="s">
        <v>1</v>
      </c>
      <c r="C7" s="5">
        <f>'Natural Capital Indicators'!E12+SUMIF('Internalisation factors'!$G$6:$G$20,'Financial implications'!B7,'Internalisation factors'!$H$6:$H$20)</f>
        <v>909.5655999999999</v>
      </c>
      <c r="G7" s="4" t="s">
        <v>1</v>
      </c>
      <c r="H7" s="5">
        <f>'Natural Capital Indicators'!E12</f>
        <v>900.56</v>
      </c>
    </row>
    <row r="8" spans="2:10" ht="15" x14ac:dyDescent="0.25">
      <c r="B8" s="4" t="s">
        <v>2</v>
      </c>
      <c r="C8" s="5">
        <f>SUM(C9:C10)</f>
        <v>769.36300000000006</v>
      </c>
      <c r="G8" s="4" t="s">
        <v>2</v>
      </c>
      <c r="H8" s="5">
        <f>'Natural Capital Indicators'!E13</f>
        <v>769.36300000000006</v>
      </c>
    </row>
    <row r="9" spans="2:10" x14ac:dyDescent="0.2">
      <c r="B9" s="6" t="s">
        <v>3</v>
      </c>
      <c r="C9" s="7">
        <f>'Natural Capital Indicators'!E14+SUMIF('Internalisation factors'!$G$6:$G$20,'Financial implications'!B9,'Internalisation factors'!$H$6:$H$20)</f>
        <v>710.452</v>
      </c>
      <c r="G9" s="6" t="s">
        <v>3</v>
      </c>
      <c r="H9" s="7">
        <f>'Natural Capital Indicators'!E14</f>
        <v>710.452</v>
      </c>
    </row>
    <row r="10" spans="2:10" x14ac:dyDescent="0.2">
      <c r="B10" s="8" t="s">
        <v>4</v>
      </c>
      <c r="C10" s="9">
        <f>'Natural Capital Indicators'!E15+SUMIF('Internalisation factors'!$G$6:$G$20,'Financial implications'!B10,'Internalisation factors'!$H$6:$H$20)</f>
        <v>58.911000000000001</v>
      </c>
      <c r="G10" s="8" t="s">
        <v>4</v>
      </c>
      <c r="H10" s="9">
        <f>'Natural Capital Indicators'!E15</f>
        <v>58.911000000000001</v>
      </c>
    </row>
    <row r="11" spans="2:10" ht="15.75" thickBot="1" x14ac:dyDescent="0.3">
      <c r="B11" s="10" t="s">
        <v>5</v>
      </c>
      <c r="C11" s="11">
        <f>C7-C8</f>
        <v>140.20259999999985</v>
      </c>
      <c r="G11" s="10" t="s">
        <v>5</v>
      </c>
      <c r="H11" s="11">
        <f>'Natural Capital Indicators'!E16</f>
        <v>131.19699999999989</v>
      </c>
    </row>
    <row r="12" spans="2:10" ht="15.75" thickTop="1" x14ac:dyDescent="0.25">
      <c r="B12" s="12" t="s">
        <v>6</v>
      </c>
      <c r="C12" s="13">
        <f>'Natural Capital Indicators'!E17+SUMIF('Internalisation factors'!$G$6:$G$20,'Financial implications'!B12,'Internalisation factors'!$H$6:$H$20)</f>
        <v>15.923999999999999</v>
      </c>
      <c r="G12" s="12" t="s">
        <v>6</v>
      </c>
      <c r="H12" s="13">
        <f>'Natural Capital Indicators'!E17</f>
        <v>15.923999999999999</v>
      </c>
    </row>
    <row r="13" spans="2:10" ht="15" x14ac:dyDescent="0.25">
      <c r="B13" s="14" t="s">
        <v>7</v>
      </c>
      <c r="C13" s="15">
        <f>'Natural Capital Indicators'!E18+SUMIF('Internalisation factors'!$G$6:$G$20,'Financial implications'!B13,'Internalisation factors'!$H$6:$H$20)</f>
        <v>12.23</v>
      </c>
      <c r="G13" s="14" t="s">
        <v>7</v>
      </c>
      <c r="H13" s="15">
        <f>'Natural Capital Indicators'!E18</f>
        <v>12.23</v>
      </c>
    </row>
    <row r="14" spans="2:10" ht="15" thickBot="1" x14ac:dyDescent="0.25">
      <c r="B14" s="16" t="s">
        <v>8</v>
      </c>
      <c r="C14" s="17">
        <f>C11-SUM(C12:C13)</f>
        <v>112.04859999999985</v>
      </c>
      <c r="G14" s="16" t="s">
        <v>8</v>
      </c>
      <c r="H14" s="17">
        <f>'Natural Capital Indicators'!E19</f>
        <v>103.04299999999989</v>
      </c>
    </row>
    <row r="15" spans="2:10" ht="15.75" thickTop="1" x14ac:dyDescent="0.25">
      <c r="B15" s="12" t="s">
        <v>9</v>
      </c>
      <c r="C15" s="18">
        <f>'Natural Capital Indicators'!E20+SUMIF('Internalisation factors'!$G$6:$G$20,'Financial implications'!B15,'Internalisation factors'!$H$6:$H$20)</f>
        <v>35.31</v>
      </c>
      <c r="G15" s="12" t="s">
        <v>9</v>
      </c>
      <c r="H15" s="18">
        <f>500*0.06812</f>
        <v>34.06</v>
      </c>
    </row>
    <row r="16" spans="2:10" ht="15" x14ac:dyDescent="0.25">
      <c r="B16" s="14" t="s">
        <v>10</v>
      </c>
      <c r="C16" s="19">
        <f>'Natural Capital Indicators'!E21</f>
        <v>51.131000518798828</v>
      </c>
      <c r="G16" s="14" t="s">
        <v>10</v>
      </c>
      <c r="H16" s="19">
        <f>'Natural Capital Indicators'!E21</f>
        <v>51.131000518798828</v>
      </c>
    </row>
    <row r="17" spans="2:8" ht="15.75" thickBot="1" x14ac:dyDescent="0.3">
      <c r="B17" s="10" t="s">
        <v>11</v>
      </c>
      <c r="C17" s="11">
        <f>C14-SUM(C15:C16)</f>
        <v>25.607599481201021</v>
      </c>
      <c r="G17" s="10" t="s">
        <v>11</v>
      </c>
      <c r="H17" s="11">
        <f>'Natural Capital Indicators'!E22</f>
        <v>17.851999481201062</v>
      </c>
    </row>
    <row r="18" spans="2:8" ht="15.75" thickTop="1" x14ac:dyDescent="0.25">
      <c r="B18" s="20" t="s">
        <v>12</v>
      </c>
      <c r="C18" s="22">
        <f>C17*0.25</f>
        <v>6.4018998703002552</v>
      </c>
      <c r="G18" s="20" t="s">
        <v>12</v>
      </c>
      <c r="H18" s="55">
        <f>H17*0.25</f>
        <v>4.4629998703002656</v>
      </c>
    </row>
    <row r="19" spans="2:8" ht="15.75" thickBot="1" x14ac:dyDescent="0.3">
      <c r="B19" s="10" t="s">
        <v>13</v>
      </c>
      <c r="C19" s="11">
        <f>C17-C18</f>
        <v>19.205699610900766</v>
      </c>
      <c r="G19" s="10" t="s">
        <v>13</v>
      </c>
      <c r="H19" s="11">
        <f>H17-H18</f>
        <v>13.388999610900797</v>
      </c>
    </row>
    <row r="20" spans="2:8" ht="15" thickTop="1" x14ac:dyDescent="0.2"/>
    <row r="21" spans="2:8" x14ac:dyDescent="0.2">
      <c r="B21" s="1" t="s">
        <v>14</v>
      </c>
      <c r="C21" s="21">
        <f>C19/C22</f>
        <v>0.19205699610900764</v>
      </c>
      <c r="G21" s="1" t="s">
        <v>14</v>
      </c>
      <c r="H21" s="21">
        <f>H19/H22</f>
        <v>0.13388999610900798</v>
      </c>
    </row>
    <row r="22" spans="2:8" x14ac:dyDescent="0.2">
      <c r="B22" s="1" t="s">
        <v>15</v>
      </c>
      <c r="C22" s="1">
        <v>100</v>
      </c>
      <c r="G22" s="1" t="s">
        <v>18</v>
      </c>
      <c r="H22" s="1">
        <v>100</v>
      </c>
    </row>
    <row r="23" spans="2:8" ht="9.75" customHeight="1" x14ac:dyDescent="0.2"/>
    <row r="24" spans="2:8" ht="13.5" customHeight="1" x14ac:dyDescent="0.2">
      <c r="B24" s="67" t="s">
        <v>112</v>
      </c>
      <c r="C24" s="67"/>
      <c r="D24" s="67"/>
      <c r="E24" s="67"/>
      <c r="F24" s="67"/>
      <c r="G24" s="67"/>
      <c r="H24" s="67"/>
    </row>
    <row r="25" spans="2:8" x14ac:dyDescent="0.2">
      <c r="B25" s="65" t="str">
        <f>IF(C7&gt;H7,"Producer A manages its natural capital dependence such that it can maintain good yield and capitalise on a market premium for sustainable soyabeans.","Producer B manages its natural capital dependence such that it can maintain good yield and capitalise on a market premium for sustainable soyabeans.")</f>
        <v>Producer A manages its natural capital dependence such that it can maintain good yield and capitalise on a market premium for sustainable soyabeans.</v>
      </c>
      <c r="C25" s="65"/>
      <c r="D25" s="65"/>
      <c r="E25" s="65"/>
      <c r="F25" s="65"/>
      <c r="G25" s="65"/>
      <c r="H25" s="65"/>
    </row>
    <row r="27" spans="2:8" x14ac:dyDescent="0.2">
      <c r="B27" s="65" t="str">
        <f>IF(C9&gt;H9,"Producer A has lower costs than Producer B because it pursues sustainable energy and land management strategies.","Producer B has lower costs than Producer A because it pursues sustainable energy and land management strategies.")</f>
        <v>Producer B has lower costs than Producer A because it pursues sustainable energy and land management strategies.</v>
      </c>
      <c r="C27" s="65"/>
      <c r="D27" s="65"/>
      <c r="E27" s="65"/>
      <c r="F27" s="65"/>
      <c r="G27" s="65"/>
      <c r="H27" s="65"/>
    </row>
    <row r="29" spans="2:8" x14ac:dyDescent="0.2">
      <c r="B29" s="65" t="str">
        <f>IF(C14&gt;H14,"Producer A has a higher operating income than Producer B as yield growth and sales strategy outstrips cost increases.","Producer B has a higher operating income than Producer A as yield growth and sales strategy outstrips cost increases.")</f>
        <v>Producer A has a higher operating income than Producer B as yield growth and sales strategy outstrips cost increases.</v>
      </c>
      <c r="C29" s="65"/>
      <c r="D29" s="65"/>
      <c r="E29" s="65"/>
      <c r="F29" s="65"/>
      <c r="G29" s="65"/>
      <c r="H29" s="65"/>
    </row>
    <row r="31" spans="2:8" ht="30.75" customHeight="1" x14ac:dyDescent="0.2">
      <c r="B31" s="66" t="str">
        <f>IF(C15&gt;H15,"Creditors reward Producer B with lower interest rates because the company locks in longer term contracts through its commitment to meeting clients' sustainable supply chain mandates.","Creditors reward Producer A with lower interest rates because the company locks in longer term contracts through its commitment to meeting clients' sustainable supply chain mandates.")</f>
        <v>Creditors reward Producer B with lower interest rates because the company locks in longer term contracts through its commitment to meeting clients' sustainable supply chain mandates.</v>
      </c>
      <c r="C31" s="66"/>
      <c r="D31" s="66"/>
      <c r="E31" s="66"/>
      <c r="F31" s="66"/>
      <c r="G31" s="66"/>
      <c r="H31" s="66"/>
    </row>
    <row r="33" spans="2:2" x14ac:dyDescent="0.2">
      <c r="B33" s="1" t="str">
        <f>IF(C14/C15&gt;H14/H15,"Current debt burden is lower for Producer A, which is demonstrated by its higher interest coverage [EBIT/Interest Expense].","Current debt burden is lower for Producer A, which is demonstrated by its higher interest coverage [EBIT/Interest Expense].")</f>
        <v>Current debt burden is lower for Producer A, which is demonstrated by its higher interest coverage [EBIT/Interest Expense].</v>
      </c>
    </row>
  </sheetData>
  <sheetProtection algorithmName="SHA-512" hashValue="eXnFj6+05IV+tCS279S7kaHtH2n37qAi/LoqgULZCyZBZgOTGm3o+YZ1gE02OPnbdWhJmdjc84vqXY36y8KZjQ==" saltValue="bAgYeSn2evlrAPCSBPBSuw==" spinCount="100000" sheet="1" objects="1" scenarios="1"/>
  <mergeCells count="6">
    <mergeCell ref="B25:H25"/>
    <mergeCell ref="B27:H27"/>
    <mergeCell ref="B29:H29"/>
    <mergeCell ref="B31:H31"/>
    <mergeCell ref="B3:G3"/>
    <mergeCell ref="B24:H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Natural Capital Indicators</vt:lpstr>
      <vt:lpstr>Internalisation factors</vt:lpstr>
      <vt:lpstr>Data tables</vt:lpstr>
      <vt:lpstr>Cost breakdown - soybean produc</vt:lpstr>
      <vt:lpstr>Financial implications</vt:lpstr>
      <vt:lpstr>Summary!_ftn1</vt:lpstr>
      <vt:lpstr>Summary!_ftnref1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Re’em</dc:creator>
  <cp:lastModifiedBy>Lauren Smart1</cp:lastModifiedBy>
  <dcterms:created xsi:type="dcterms:W3CDTF">2014-12-03T17:35:52Z</dcterms:created>
  <dcterms:modified xsi:type="dcterms:W3CDTF">2014-12-10T14:07:29Z</dcterms:modified>
</cp:coreProperties>
</file>